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4700" activeTab="0"/>
  </bookViews>
  <sheets>
    <sheet name="NAS Financials" sheetId="1" r:id="rId1"/>
  </sheets>
  <definedNames>
    <definedName name="_xlnm.Print_Area" localSheetId="0">'NAS Financials'!#REF!</definedName>
  </definedNames>
  <calcPr fullCalcOnLoad="1"/>
</workbook>
</file>

<file path=xl/sharedStrings.xml><?xml version="1.0" encoding="utf-8"?>
<sst xmlns="http://schemas.openxmlformats.org/spreadsheetml/2006/main" count="120" uniqueCount="101">
  <si>
    <t>Totals</t>
  </si>
  <si>
    <t>?</t>
  </si>
  <si>
    <t>$1,000s</t>
  </si>
  <si>
    <t>X</t>
  </si>
  <si>
    <t>Foundations</t>
  </si>
  <si>
    <t>Scaife Family</t>
  </si>
  <si>
    <t>L&amp;H Bradley</t>
  </si>
  <si>
    <t>John Templeton</t>
  </si>
  <si>
    <t>Randolph</t>
  </si>
  <si>
    <t>Total</t>
  </si>
  <si>
    <t>President</t>
  </si>
  <si>
    <t>Wood</t>
  </si>
  <si>
    <t>Balch</t>
  </si>
  <si>
    <t>Found. As % of Total Rev</t>
  </si>
  <si>
    <t>Pgm  revenue (2 / 9)</t>
  </si>
  <si>
    <t>Salaries+benefits (? / 15)</t>
  </si>
  <si>
    <t>Other (? / 17)</t>
  </si>
  <si>
    <t>Total Expenses (17 /18)</t>
  </si>
  <si>
    <t>Revenue-expenses (18 / 19)</t>
  </si>
  <si>
    <t>Total Revenue (12 /12)</t>
  </si>
  <si>
    <t>Values in  $1,000s</t>
  </si>
  <si>
    <t>% of</t>
  </si>
  <si>
    <t>total</t>
  </si>
  <si>
    <t>#</t>
  </si>
  <si>
    <t>Wilson 1996-2004</t>
  </si>
  <si>
    <t>Cntrb</t>
  </si>
  <si>
    <t>1987: CCfD, changed name to NAS no later than 1990.  Data from 990 Forms.</t>
  </si>
  <si>
    <t>-------</t>
  </si>
  <si>
    <t>990 Format changes</t>
  </si>
  <si>
    <t>Other contributions</t>
  </si>
  <si>
    <t>Known Foundations</t>
  </si>
  <si>
    <t>Pgm Revenue</t>
  </si>
  <si>
    <t>Membership Dues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</si>
  <si>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</si>
  <si>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</si>
  <si>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</si>
  <si>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</si>
  <si>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</si>
  <si>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</si>
  <si>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</si>
  <si>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</si>
  <si>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</si>
  <si>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</si>
  <si>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</si>
  <si>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</si>
  <si>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</si>
  <si>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</si>
  <si>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</si>
  <si>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</si>
  <si>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</si>
  <si>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</si>
  <si>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</si>
  <si>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</si>
  <si>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</si>
  <si>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Other: L17-L13lL15-L16</t>
  </si>
  <si>
    <t>Membership dues (3  / VIII.1b)</t>
  </si>
  <si>
    <t>Balch (Chairman)</t>
  </si>
  <si>
    <t>Executive Director</t>
  </si>
  <si>
    <t>J.M.Olin (2007: no 990)</t>
  </si>
  <si>
    <t xml:space="preserve">Known foundations </t>
  </si>
  <si>
    <t>A.5.2 NAS Top-Level Finances</t>
  </si>
  <si>
    <t>990 Contribs, gifts, etc (1b / 8)</t>
  </si>
  <si>
    <t>Other contributions =  L13-L11</t>
  </si>
  <si>
    <t>L9a</t>
  </si>
  <si>
    <t>F.M. Kirby</t>
  </si>
  <si>
    <t>L9b</t>
  </si>
  <si>
    <t>Move</t>
  </si>
  <si>
    <t>L2a</t>
  </si>
  <si>
    <t>Charles Koch Fnd/Institute</t>
  </si>
  <si>
    <t>N</t>
  </si>
  <si>
    <t>Castle Rock&gt;Adolph Coors</t>
  </si>
  <si>
    <t>Thomas D. Klingenstein</t>
  </si>
  <si>
    <t>Brockman Foundation</t>
  </si>
  <si>
    <t>John William Pope</t>
  </si>
  <si>
    <t>Anschutz Foundation</t>
  </si>
  <si>
    <t>Winiarski Family Fnd</t>
  </si>
  <si>
    <t>(Achelis and) Bodman Fnd</t>
  </si>
  <si>
    <t>Daniels Fund</t>
  </si>
  <si>
    <t>02-'17</t>
  </si>
  <si>
    <t>Philip M. McKenna Fnd</t>
  </si>
  <si>
    <t>Malcom Hewitt Wiener</t>
  </si>
  <si>
    <t>Quantititative Foundation</t>
  </si>
  <si>
    <t>ODD, not usual pattern</t>
  </si>
  <si>
    <t>Bradley Impact Fund (DAF)</t>
  </si>
  <si>
    <t>Richard and Barbara Gaby</t>
  </si>
  <si>
    <t>William.T.Morris</t>
  </si>
  <si>
    <t>ODD, mostly educational</t>
  </si>
  <si>
    <t>Diana Davis Spencer Fnd</t>
  </si>
  <si>
    <t>SHIFT =&gt; DONORS TRUST</t>
  </si>
  <si>
    <t>Earhart</t>
  </si>
  <si>
    <t>F. Maytag Family Fnd</t>
  </si>
  <si>
    <t>Sarah Scaife Fnd</t>
  </si>
  <si>
    <t>Membership #s</t>
  </si>
  <si>
    <t>Malcolm Hewitt Wiener F</t>
  </si>
  <si>
    <t>Philip M McKenna Fnd</t>
  </si>
  <si>
    <t>ODD</t>
  </si>
  <si>
    <t>DONORS TRUST (DAF)</t>
  </si>
  <si>
    <t>Chicago Community Trust (DAF)</t>
  </si>
  <si>
    <t>Fidelity Charitable (DAF)</t>
  </si>
  <si>
    <t>Membership percentage</t>
  </si>
  <si>
    <t>Ocean Cycles, Not Humans, May Be Behind Most Observed Climate Change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</si>
</sst>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.05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6.0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00499993562698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dashed"/>
      <right/>
      <top style="medium"/>
      <bottom style="medium"/>
    </border>
    <border>
      <left style="dashed"/>
      <right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dotted"/>
      <right/>
      <top/>
      <bottom/>
    </border>
    <border>
      <left style="dotted"/>
      <right/>
      <top/>
      <bottom style="medium"/>
    </border>
    <border>
      <left style="medium"/>
      <right style="medium"/>
      <top style="medium"/>
      <bottom style="medium"/>
    </border>
    <border>
      <left style="dotted"/>
      <right/>
      <top style="medium"/>
      <bottom/>
    </border>
    <border>
      <left style="dotted"/>
      <right/>
      <top style="medium"/>
      <bottom style="medium"/>
    </border>
    <border>
      <left/>
      <right style="dashed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44" fillId="0" borderId="0" xfId="0" applyNumberFormat="1" applyFont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1" fontId="44" fillId="0" borderId="13" xfId="0" applyNumberFormat="1" applyFont="1" applyBorder="1" applyAlignment="1">
      <alignment/>
    </xf>
    <xf numFmtId="1" fontId="44" fillId="0" borderId="17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2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9" fontId="44" fillId="0" borderId="0" xfId="0" applyNumberFormat="1" applyFont="1" applyBorder="1" applyAlignment="1">
      <alignment/>
    </xf>
    <xf numFmtId="0" fontId="44" fillId="0" borderId="15" xfId="0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44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2" xfId="0" applyNumberFormat="1" applyFont="1" applyBorder="1" applyAlignment="1">
      <alignment/>
    </xf>
    <xf numFmtId="9" fontId="0" fillId="0" borderId="15" xfId="0" applyNumberFormat="1" applyFont="1" applyFill="1" applyBorder="1" applyAlignment="1">
      <alignment/>
    </xf>
    <xf numFmtId="1" fontId="47" fillId="0" borderId="0" xfId="0" applyNumberFormat="1" applyFont="1" applyBorder="1" applyAlignment="1">
      <alignment/>
    </xf>
    <xf numFmtId="1" fontId="47" fillId="0" borderId="11" xfId="0" applyNumberFormat="1" applyFont="1" applyBorder="1" applyAlignment="1">
      <alignment/>
    </xf>
    <xf numFmtId="1" fontId="47" fillId="0" borderId="11" xfId="0" applyNumberFormat="1" applyFont="1" applyFill="1" applyBorder="1" applyAlignment="1">
      <alignment/>
    </xf>
    <xf numFmtId="0" fontId="46" fillId="0" borderId="24" xfId="0" applyFont="1" applyBorder="1" applyAlignment="1">
      <alignment/>
    </xf>
    <xf numFmtId="0" fontId="0" fillId="0" borderId="0" xfId="0" applyAlignment="1">
      <alignment horizontal="center"/>
    </xf>
    <xf numFmtId="9" fontId="44" fillId="0" borderId="0" xfId="0" applyNumberFormat="1" applyFont="1" applyBorder="1" applyAlignment="1">
      <alignment/>
    </xf>
    <xf numFmtId="9" fontId="44" fillId="0" borderId="11" xfId="0" applyNumberFormat="1" applyFont="1" applyFill="1" applyBorder="1" applyAlignment="1">
      <alignment/>
    </xf>
    <xf numFmtId="0" fontId="44" fillId="0" borderId="19" xfId="0" applyFont="1" applyFill="1" applyBorder="1" applyAlignment="1">
      <alignment/>
    </xf>
    <xf numFmtId="49" fontId="44" fillId="0" borderId="10" xfId="0" applyNumberFormat="1" applyFont="1" applyBorder="1" applyAlignment="1">
      <alignment/>
    </xf>
    <xf numFmtId="49" fontId="44" fillId="0" borderId="0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0" fontId="44" fillId="0" borderId="25" xfId="0" applyFont="1" applyBorder="1" applyAlignment="1">
      <alignment/>
    </xf>
    <xf numFmtId="49" fontId="44" fillId="33" borderId="14" xfId="0" applyNumberFormat="1" applyFont="1" applyFill="1" applyBorder="1" applyAlignment="1">
      <alignment/>
    </xf>
    <xf numFmtId="49" fontId="44" fillId="33" borderId="15" xfId="0" applyNumberFormat="1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0" borderId="23" xfId="0" applyFont="1" applyFill="1" applyBorder="1" applyAlignment="1">
      <alignment/>
    </xf>
    <xf numFmtId="9" fontId="44" fillId="0" borderId="20" xfId="0" applyNumberFormat="1" applyFont="1" applyBorder="1" applyAlignment="1">
      <alignment/>
    </xf>
    <xf numFmtId="0" fontId="44" fillId="0" borderId="23" xfId="0" applyFont="1" applyBorder="1" applyAlignment="1">
      <alignment/>
    </xf>
    <xf numFmtId="0" fontId="8" fillId="0" borderId="22" xfId="0" applyFont="1" applyBorder="1" applyAlignment="1">
      <alignment/>
    </xf>
    <xf numFmtId="1" fontId="44" fillId="0" borderId="0" xfId="0" applyNumberFormat="1" applyFont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1" fontId="45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49" fontId="44" fillId="0" borderId="15" xfId="0" applyNumberFormat="1" applyFont="1" applyBorder="1" applyAlignment="1">
      <alignment/>
    </xf>
    <xf numFmtId="49" fontId="44" fillId="0" borderId="16" xfId="0" applyNumberFormat="1" applyFont="1" applyFill="1" applyBorder="1" applyAlignment="1">
      <alignment/>
    </xf>
    <xf numFmtId="9" fontId="44" fillId="0" borderId="16" xfId="0" applyNumberFormat="1" applyFont="1" applyFill="1" applyBorder="1" applyAlignment="1">
      <alignment/>
    </xf>
    <xf numFmtId="49" fontId="44" fillId="0" borderId="21" xfId="0" applyNumberFormat="1" applyFont="1" applyFill="1" applyBorder="1" applyAlignment="1">
      <alignment/>
    </xf>
    <xf numFmtId="49" fontId="44" fillId="0" borderId="15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1" fontId="0" fillId="0" borderId="26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9" fontId="44" fillId="0" borderId="1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0" fontId="44" fillId="0" borderId="13" xfId="0" applyFont="1" applyBorder="1" applyAlignment="1">
      <alignment/>
    </xf>
    <xf numFmtId="1" fontId="44" fillId="35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44" fillId="36" borderId="10" xfId="0" applyNumberFormat="1" applyFont="1" applyFill="1" applyBorder="1" applyAlignment="1">
      <alignment/>
    </xf>
    <xf numFmtId="1" fontId="44" fillId="37" borderId="1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44" fillId="0" borderId="17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10" fillId="0" borderId="26" xfId="0" applyNumberFormat="1" applyFont="1" applyBorder="1" applyAlignment="1">
      <alignment horizontal="right"/>
    </xf>
    <xf numFmtId="1" fontId="10" fillId="0" borderId="26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9" fontId="44" fillId="0" borderId="11" xfId="0" applyNumberFormat="1" applyFont="1" applyBorder="1" applyAlignment="1">
      <alignment/>
    </xf>
    <xf numFmtId="0" fontId="44" fillId="0" borderId="19" xfId="0" applyFont="1" applyBorder="1" applyAlignment="1">
      <alignment/>
    </xf>
    <xf numFmtId="9" fontId="44" fillId="0" borderId="16" xfId="0" applyNumberFormat="1" applyFont="1" applyBorder="1" applyAlignment="1">
      <alignment/>
    </xf>
    <xf numFmtId="0" fontId="44" fillId="0" borderId="21" xfId="0" applyFont="1" applyBorder="1" applyAlignment="1">
      <alignment/>
    </xf>
    <xf numFmtId="16" fontId="44" fillId="0" borderId="17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48" fillId="0" borderId="20" xfId="0" applyFont="1" applyFill="1" applyBorder="1" applyAlignment="1">
      <alignment/>
    </xf>
    <xf numFmtId="1" fontId="44" fillId="0" borderId="0" xfId="0" applyNumberFormat="1" applyFont="1" applyBorder="1" applyAlignment="1">
      <alignment horizontal="right"/>
    </xf>
    <xf numFmtId="9" fontId="0" fillId="0" borderId="25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49" fontId="44" fillId="33" borderId="16" xfId="0" applyNumberFormat="1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1" fontId="48" fillId="0" borderId="2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48" fillId="0" borderId="21" xfId="0" applyNumberFormat="1" applyFont="1" applyFill="1" applyBorder="1" applyAlignment="1">
      <alignment/>
    </xf>
    <xf numFmtId="0" fontId="47" fillId="0" borderId="20" xfId="0" applyFont="1" applyFill="1" applyBorder="1" applyAlignment="1">
      <alignment horizontal="right"/>
    </xf>
    <xf numFmtId="1" fontId="47" fillId="0" borderId="20" xfId="0" applyNumberFormat="1" applyFont="1" applyFill="1" applyBorder="1" applyAlignment="1">
      <alignment horizontal="right"/>
    </xf>
    <xf numFmtId="0" fontId="48" fillId="0" borderId="20" xfId="0" applyFont="1" applyFill="1" applyBorder="1" applyAlignment="1">
      <alignment horizontal="right"/>
    </xf>
    <xf numFmtId="1" fontId="48" fillId="0" borderId="20" xfId="0" applyNumberFormat="1" applyFont="1" applyFill="1" applyBorder="1" applyAlignment="1">
      <alignment horizontal="right"/>
    </xf>
    <xf numFmtId="0" fontId="44" fillId="0" borderId="11" xfId="0" applyFont="1" applyFill="1" applyBorder="1" applyAlignment="1" quotePrefix="1">
      <alignment/>
    </xf>
    <xf numFmtId="0" fontId="44" fillId="0" borderId="15" xfId="0" applyFont="1" applyFill="1" applyBorder="1" applyAlignment="1">
      <alignment/>
    </xf>
    <xf numFmtId="1" fontId="44" fillId="0" borderId="11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/>
    </xf>
    <xf numFmtId="0" fontId="47" fillId="38" borderId="20" xfId="0" applyFont="1" applyFill="1" applyBorder="1" applyAlignment="1">
      <alignment/>
    </xf>
    <xf numFmtId="0" fontId="48" fillId="38" borderId="25" xfId="0" applyFont="1" applyFill="1" applyBorder="1" applyAlignment="1">
      <alignment/>
    </xf>
    <xf numFmtId="0" fontId="47" fillId="38" borderId="20" xfId="0" applyFont="1" applyFill="1" applyBorder="1" applyAlignment="1">
      <alignment/>
    </xf>
    <xf numFmtId="0" fontId="48" fillId="38" borderId="20" xfId="0" applyFont="1" applyFill="1" applyBorder="1" applyAlignment="1">
      <alignment/>
    </xf>
    <xf numFmtId="0" fontId="45" fillId="0" borderId="12" xfId="0" applyFont="1" applyBorder="1" applyAlignment="1">
      <alignment/>
    </xf>
    <xf numFmtId="2" fontId="44" fillId="0" borderId="15" xfId="0" applyNumberFormat="1" applyFont="1" applyBorder="1" applyAlignment="1">
      <alignment/>
    </xf>
    <xf numFmtId="1" fontId="44" fillId="0" borderId="15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49" fillId="0" borderId="0" xfId="0" applyFont="1" applyAlignment="1">
      <alignment vertical="center" wrapText="1"/>
    </xf>
    <xf numFmtId="0" fontId="44" fillId="0" borderId="30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49" fontId="44" fillId="0" borderId="22" xfId="0" applyNumberFormat="1" applyFont="1" applyFill="1" applyBorder="1" applyAlignment="1">
      <alignment horizontal="center"/>
    </xf>
    <xf numFmtId="49" fontId="44" fillId="0" borderId="15" xfId="0" applyNumberFormat="1" applyFont="1" applyFill="1" applyBorder="1" applyAlignment="1">
      <alignment horizontal="center"/>
    </xf>
    <xf numFmtId="49" fontId="44" fillId="0" borderId="3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A.5.1(a) NAS Revenues 2002-2010, $1,000s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275"/>
          <c:w val="0.8055"/>
          <c:h val="0.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'NAS Financials'!$AF$3</c:f>
              <c:strCache>
                <c:ptCount val="1"/>
                <c:pt idx="0">
                  <c:v>Membership Dues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'NAS Financials'!$AG$2:$AO$2</c:f>
              <c:numCache/>
            </c:numRef>
          </c:cat>
          <c:val>
            <c:numRef>
              <c:f>'NAS Financials'!$AG$3:$AV$3</c:f>
              <c:numCache/>
            </c:numRef>
          </c:val>
        </c:ser>
        <c:ser>
          <c:idx val="1"/>
          <c:order val="1"/>
          <c:tx>
            <c:strRef>
              <c:f>'NAS Financials'!$AF$4</c:f>
              <c:strCache>
                <c:ptCount val="1"/>
                <c:pt idx="0">
                  <c:v>Known Foundations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'NAS Financials'!$AG$2:$AO$2</c:f>
              <c:numCache/>
            </c:numRef>
          </c:cat>
          <c:val>
            <c:numRef>
              <c:f>'NAS Financials'!$AG$4:$AV$4</c:f>
              <c:numCache/>
            </c:numRef>
          </c:val>
        </c:ser>
        <c:ser>
          <c:idx val="2"/>
          <c:order val="2"/>
          <c:tx>
            <c:strRef>
              <c:f>'NAS Financials'!$AF$5</c:f>
              <c:strCache>
                <c:ptCount val="1"/>
                <c:pt idx="0">
                  <c:v>Other contributions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'NAS Financials'!$AG$2:$AO$2</c:f>
              <c:numCache/>
            </c:numRef>
          </c:cat>
          <c:val>
            <c:numRef>
              <c:f>'NAS Financials'!$AG$5:$AV$5</c:f>
              <c:numCache/>
            </c:numRef>
          </c:val>
        </c:ser>
        <c:ser>
          <c:idx val="3"/>
          <c:order val="3"/>
          <c:tx>
            <c:strRef>
              <c:f>'NAS Financials'!$AF$6</c:f>
              <c:strCache>
                <c:ptCount val="1"/>
                <c:pt idx="0">
                  <c:v>Pgm Revenue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'NAS Financials'!$AG$2:$AO$2</c:f>
              <c:numCache/>
            </c:numRef>
          </c:cat>
          <c:val>
            <c:numRef>
              <c:f>'NAS Financials'!$AG$6:$AV$6</c:f>
              <c:numCache/>
            </c:numRef>
          </c:val>
        </c:ser>
        <c:overlap val="100"/>
        <c:axId val="43265312"/>
        <c:axId val="53843489"/>
      </c:bar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43489"/>
        <c:crosses val="autoZero"/>
        <c:auto val="1"/>
        <c:lblOffset val="100"/>
        <c:tickLblSkip val="1"/>
        <c:noMultiLvlLbl val="0"/>
      </c:catAx>
      <c:valAx>
        <c:axId val="53843489"/>
        <c:scaling>
          <c:orientation val="minMax"/>
          <c:max val="3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326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392"/>
          <c:w val="0.16575"/>
          <c:h val="0.3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35</xdr:row>
      <xdr:rowOff>142875</xdr:rowOff>
    </xdr:from>
    <xdr:ext cx="1600200" cy="304800"/>
    <xdr:sp>
      <xdr:nvSpPr>
        <xdr:cNvPr id="1" name="TextBox 6"/>
        <xdr:cNvSpPr txBox="1">
          <a:spLocks noChangeArrowheads="1"/>
        </xdr:cNvSpPr>
      </xdr:nvSpPr>
      <xdr:spPr>
        <a:xfrm>
          <a:off x="18859500" y="7143750"/>
          <a:ext cx="1600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O'Keefe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(ex-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oneCellAnchor>
    <xdr:from>
      <xdr:col>46</xdr:col>
      <xdr:colOff>0</xdr:colOff>
      <xdr:row>35</xdr:row>
      <xdr:rowOff>133350</xdr:rowOff>
    </xdr:from>
    <xdr:ext cx="1628775" cy="304800"/>
    <xdr:sp>
      <xdr:nvSpPr>
        <xdr:cNvPr id="2" name="TextBox 8"/>
        <xdr:cNvSpPr txBox="1">
          <a:spLocks noChangeArrowheads="1"/>
        </xdr:cNvSpPr>
      </xdr:nvSpPr>
      <xdr:spPr>
        <a:xfrm>
          <a:off x="18859500" y="7134225"/>
          <a:ext cx="1628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Salmon (to DOE)</a:t>
          </a:r>
        </a:p>
      </xdr:txBody>
    </xdr:sp>
    <xdr:clientData/>
  </xdr:oneCellAnchor>
  <xdr:twoCellAnchor>
    <xdr:from>
      <xdr:col>31</xdr:col>
      <xdr:colOff>381000</xdr:colOff>
      <xdr:row>10</xdr:row>
      <xdr:rowOff>123825</xdr:rowOff>
    </xdr:from>
    <xdr:to>
      <xdr:col>49</xdr:col>
      <xdr:colOff>257175</xdr:colOff>
      <xdr:row>25</xdr:row>
      <xdr:rowOff>19050</xdr:rowOff>
    </xdr:to>
    <xdr:graphicFrame>
      <xdr:nvGraphicFramePr>
        <xdr:cNvPr id="3" name="Chart 11"/>
        <xdr:cNvGraphicFramePr/>
      </xdr:nvGraphicFramePr>
      <xdr:xfrm>
        <a:off x="12601575" y="2124075"/>
        <a:ext cx="76009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9"/>
  <sheetViews>
    <sheetView tabSelected="1" zoomScalePageLayoutView="0" workbookViewId="0" topLeftCell="Z1">
      <pane ySplit="2190" topLeftCell="A1" activePane="bottomLeft" state="split"/>
      <selection pane="topLeft" activeCell="G7" sqref="G7"/>
      <selection pane="bottomLeft" activeCell="AZ10" sqref="AZ10"/>
    </sheetView>
  </sheetViews>
  <sheetFormatPr defaultColWidth="9.140625" defaultRowHeight="15"/>
  <cols>
    <col min="1" max="1" width="3.421875" style="58" customWidth="1"/>
    <col min="2" max="2" width="24.7109375" style="1" customWidth="1"/>
    <col min="3" max="3" width="2.7109375" style="1" customWidth="1"/>
    <col min="4" max="13" width="5.421875" style="1" customWidth="1"/>
    <col min="14" max="14" width="5.421875" style="0" customWidth="1"/>
    <col min="15" max="15" width="5.421875" style="26" customWidth="1"/>
    <col min="16" max="27" width="5.421875" style="0" customWidth="1"/>
    <col min="28" max="28" width="5.8515625" style="0" customWidth="1"/>
    <col min="29" max="29" width="5.421875" style="28" customWidth="1"/>
    <col min="30" max="30" width="5.421875" style="0" customWidth="1"/>
    <col min="31" max="31" width="5.421875" style="4" customWidth="1"/>
    <col min="32" max="32" width="23.57421875" style="4" customWidth="1"/>
    <col min="33" max="50" width="5.421875" style="4" customWidth="1"/>
  </cols>
  <sheetData>
    <row r="1" spans="1:50" s="14" customFormat="1" ht="15.75" customHeight="1" thickBot="1">
      <c r="A1" s="11"/>
      <c r="O1" s="10"/>
      <c r="AC1" s="43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</row>
    <row r="2" spans="1:50" s="8" customFormat="1" ht="15.75" customHeight="1" thickBot="1">
      <c r="A2" s="79"/>
      <c r="B2" s="35" t="s">
        <v>60</v>
      </c>
      <c r="C2" s="36"/>
      <c r="D2" s="36"/>
      <c r="E2" s="92" t="s">
        <v>26</v>
      </c>
      <c r="F2" s="36"/>
      <c r="G2" s="36"/>
      <c r="H2" s="36"/>
      <c r="I2" s="36"/>
      <c r="J2" s="36"/>
      <c r="K2" s="36"/>
      <c r="L2" s="36"/>
      <c r="M2" s="36"/>
      <c r="N2" s="36"/>
      <c r="O2" s="44"/>
      <c r="P2" s="36"/>
      <c r="Q2" s="36"/>
      <c r="R2" s="36"/>
      <c r="S2" s="36"/>
      <c r="T2" s="36"/>
      <c r="U2" s="36"/>
      <c r="V2" s="36"/>
      <c r="W2" s="148"/>
      <c r="X2" s="36"/>
      <c r="Y2" s="36"/>
      <c r="Z2" s="36"/>
      <c r="AA2" s="36"/>
      <c r="AB2" s="36"/>
      <c r="AC2" s="93"/>
      <c r="AD2" s="65"/>
      <c r="AE2" s="9"/>
      <c r="AF2" s="39"/>
      <c r="AG2" s="39">
        <f aca="true" t="shared" si="0" ref="AG2:AO2">J5</f>
        <v>2002</v>
      </c>
      <c r="AH2" s="39">
        <f t="shared" si="0"/>
        <v>2003</v>
      </c>
      <c r="AI2" s="39">
        <f t="shared" si="0"/>
        <v>2004</v>
      </c>
      <c r="AJ2" s="39">
        <f t="shared" si="0"/>
        <v>2005</v>
      </c>
      <c r="AK2" s="39">
        <f t="shared" si="0"/>
        <v>2006</v>
      </c>
      <c r="AL2" s="39">
        <f t="shared" si="0"/>
        <v>2007</v>
      </c>
      <c r="AM2" s="39">
        <f t="shared" si="0"/>
        <v>2008</v>
      </c>
      <c r="AN2" s="39">
        <f t="shared" si="0"/>
        <v>2009</v>
      </c>
      <c r="AO2" s="39">
        <f t="shared" si="0"/>
        <v>2010</v>
      </c>
      <c r="AP2" s="39">
        <v>2011</v>
      </c>
      <c r="AQ2" s="39">
        <v>2012</v>
      </c>
      <c r="AR2" s="39">
        <v>2013</v>
      </c>
      <c r="AS2" s="39">
        <f>AR2+1</f>
        <v>2014</v>
      </c>
      <c r="AT2" s="39">
        <f>AS2+1</f>
        <v>2015</v>
      </c>
      <c r="AU2" s="39">
        <f>AT2+1</f>
        <v>2016</v>
      </c>
      <c r="AV2" s="39">
        <f>AU2+1</f>
        <v>2017</v>
      </c>
      <c r="AW2" s="39">
        <f>AV2+1</f>
        <v>2018</v>
      </c>
      <c r="AX2" s="39">
        <f>AW2+1</f>
        <v>2019</v>
      </c>
    </row>
    <row r="3" spans="1:50" s="8" customFormat="1" ht="15.75" customHeight="1" thickBot="1">
      <c r="A3" s="79"/>
      <c r="B3" s="18" t="s">
        <v>10</v>
      </c>
      <c r="C3" s="18"/>
      <c r="D3" s="68" t="s">
        <v>12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89" t="s">
        <v>11</v>
      </c>
      <c r="R3" s="90"/>
      <c r="S3" s="90"/>
      <c r="T3" s="127"/>
      <c r="U3" s="127"/>
      <c r="V3" s="127"/>
      <c r="W3" s="127"/>
      <c r="X3" s="127"/>
      <c r="Y3" s="127"/>
      <c r="Z3" s="127"/>
      <c r="AA3" s="127"/>
      <c r="AB3" s="47"/>
      <c r="AC3" s="60"/>
      <c r="AD3" s="61"/>
      <c r="AE3" s="76"/>
      <c r="AF3" s="3" t="s">
        <v>32</v>
      </c>
      <c r="AG3" s="39">
        <f aca="true" t="shared" si="1" ref="AG3:AO3">J$42</f>
        <v>132</v>
      </c>
      <c r="AH3" s="39">
        <f t="shared" si="1"/>
        <v>119</v>
      </c>
      <c r="AI3" s="39">
        <f t="shared" si="1"/>
        <v>111</v>
      </c>
      <c r="AJ3" s="39">
        <f t="shared" si="1"/>
        <v>109</v>
      </c>
      <c r="AK3" s="39">
        <f t="shared" si="1"/>
        <v>95</v>
      </c>
      <c r="AL3" s="39">
        <f t="shared" si="1"/>
        <v>93</v>
      </c>
      <c r="AM3" s="39">
        <f t="shared" si="1"/>
        <v>88</v>
      </c>
      <c r="AN3" s="39">
        <f t="shared" si="1"/>
        <v>79</v>
      </c>
      <c r="AO3" s="39">
        <f t="shared" si="1"/>
        <v>76.241</v>
      </c>
      <c r="AP3" s="39">
        <v>90</v>
      </c>
      <c r="AQ3" s="39">
        <v>61</v>
      </c>
      <c r="AR3" s="39">
        <v>98</v>
      </c>
      <c r="AS3" s="39">
        <v>118</v>
      </c>
      <c r="AT3" s="39">
        <v>107</v>
      </c>
      <c r="AU3" s="39">
        <v>121</v>
      </c>
      <c r="AV3" s="39">
        <v>134</v>
      </c>
      <c r="AW3" s="39"/>
      <c r="AX3" s="39"/>
    </row>
    <row r="4" spans="1:50" s="17" customFormat="1" ht="15.75" customHeight="1" thickBot="1">
      <c r="A4" s="80"/>
      <c r="B4" s="62" t="s">
        <v>57</v>
      </c>
      <c r="C4" s="63"/>
      <c r="D4" s="63"/>
      <c r="E4" s="84"/>
      <c r="F4" s="154" t="s">
        <v>24</v>
      </c>
      <c r="G4" s="155"/>
      <c r="H4" s="155"/>
      <c r="I4" s="155"/>
      <c r="J4" s="155"/>
      <c r="K4" s="155"/>
      <c r="L4" s="156"/>
      <c r="M4" s="88"/>
      <c r="N4" s="88"/>
      <c r="O4" s="152" t="s">
        <v>11</v>
      </c>
      <c r="P4" s="153"/>
      <c r="Q4" s="66" t="s">
        <v>56</v>
      </c>
      <c r="R4" s="67"/>
      <c r="S4" s="67"/>
      <c r="T4" s="128"/>
      <c r="U4" s="128"/>
      <c r="V4" s="128"/>
      <c r="W4" s="128"/>
      <c r="X4" s="128"/>
      <c r="Y4" s="128"/>
      <c r="Z4" s="128"/>
      <c r="AA4" s="128"/>
      <c r="AB4" s="85"/>
      <c r="AC4" s="86"/>
      <c r="AD4" s="87"/>
      <c r="AE4" s="76"/>
      <c r="AF4" s="3" t="s">
        <v>30</v>
      </c>
      <c r="AG4" s="39">
        <f>J37</f>
        <v>652.5</v>
      </c>
      <c r="AH4" s="39">
        <f aca="true" t="shared" si="2" ref="AH4:AV4">K37</f>
        <v>550.5</v>
      </c>
      <c r="AI4" s="39">
        <f t="shared" si="2"/>
        <v>530</v>
      </c>
      <c r="AJ4" s="39">
        <f t="shared" si="2"/>
        <v>570.5</v>
      </c>
      <c r="AK4" s="39">
        <f t="shared" si="2"/>
        <v>702.5</v>
      </c>
      <c r="AL4" s="39">
        <f t="shared" si="2"/>
        <v>650</v>
      </c>
      <c r="AM4" s="39">
        <f t="shared" si="2"/>
        <v>692.6</v>
      </c>
      <c r="AN4" s="39">
        <f t="shared" si="2"/>
        <v>471</v>
      </c>
      <c r="AO4" s="39">
        <f t="shared" si="2"/>
        <v>442</v>
      </c>
      <c r="AP4" s="39">
        <f t="shared" si="2"/>
        <v>300</v>
      </c>
      <c r="AQ4" s="39">
        <f t="shared" si="2"/>
        <v>356</v>
      </c>
      <c r="AR4" s="39">
        <f t="shared" si="2"/>
        <v>623.3530000000001</v>
      </c>
      <c r="AS4" s="39">
        <f t="shared" si="2"/>
        <v>609.239</v>
      </c>
      <c r="AT4" s="39">
        <f t="shared" si="2"/>
        <v>896.4279999999999</v>
      </c>
      <c r="AU4" s="39">
        <f t="shared" si="2"/>
        <v>684.33</v>
      </c>
      <c r="AV4" s="39">
        <f t="shared" si="2"/>
        <v>616.077</v>
      </c>
      <c r="AW4" s="39"/>
      <c r="AX4" s="39"/>
    </row>
    <row r="5" spans="1:50" s="8" customFormat="1" ht="15.75" customHeight="1" thickBot="1">
      <c r="A5" s="79"/>
      <c r="B5" s="18" t="s">
        <v>2</v>
      </c>
      <c r="C5" s="18"/>
      <c r="D5" s="35">
        <v>1987</v>
      </c>
      <c r="E5" s="139" t="s">
        <v>27</v>
      </c>
      <c r="F5" s="6">
        <v>1998</v>
      </c>
      <c r="G5" s="6">
        <v>1999</v>
      </c>
      <c r="H5" s="6">
        <v>2000</v>
      </c>
      <c r="I5" s="6">
        <v>2001</v>
      </c>
      <c r="J5" s="6">
        <v>2002</v>
      </c>
      <c r="K5" s="6">
        <v>2003</v>
      </c>
      <c r="L5" s="6">
        <v>2004</v>
      </c>
      <c r="M5" s="6">
        <v>2005</v>
      </c>
      <c r="N5" s="6">
        <v>2006</v>
      </c>
      <c r="O5" s="47">
        <v>2007</v>
      </c>
      <c r="P5" s="6">
        <v>2008</v>
      </c>
      <c r="Q5" s="14">
        <v>2009</v>
      </c>
      <c r="R5" s="14">
        <v>2010</v>
      </c>
      <c r="S5" s="129">
        <v>2011</v>
      </c>
      <c r="T5" s="129">
        <v>2012</v>
      </c>
      <c r="U5" s="129">
        <v>2013</v>
      </c>
      <c r="V5" s="129">
        <v>2014</v>
      </c>
      <c r="W5" s="129">
        <v>2015</v>
      </c>
      <c r="X5" s="129">
        <v>2016</v>
      </c>
      <c r="Y5" s="129">
        <v>2017</v>
      </c>
      <c r="Z5" s="143">
        <v>2018</v>
      </c>
      <c r="AA5" s="143">
        <v>2019</v>
      </c>
      <c r="AB5" s="18" t="s">
        <v>0</v>
      </c>
      <c r="AC5" s="117" t="s">
        <v>21</v>
      </c>
      <c r="AD5" s="118" t="s">
        <v>21</v>
      </c>
      <c r="AE5" s="75"/>
      <c r="AF5" s="3" t="s">
        <v>29</v>
      </c>
      <c r="AG5" s="39">
        <f>J40</f>
        <v>533.5</v>
      </c>
      <c r="AH5" s="39">
        <f aca="true" t="shared" si="3" ref="AH5:AV5">K40</f>
        <v>321.5</v>
      </c>
      <c r="AI5" s="39">
        <f t="shared" si="3"/>
        <v>-90</v>
      </c>
      <c r="AJ5" s="39">
        <f t="shared" si="3"/>
        <v>259.5</v>
      </c>
      <c r="AK5" s="39">
        <f t="shared" si="3"/>
        <v>94.5</v>
      </c>
      <c r="AL5" s="39">
        <f t="shared" si="3"/>
        <v>611</v>
      </c>
      <c r="AM5" s="39">
        <f t="shared" si="3"/>
        <v>62.39999999999998</v>
      </c>
      <c r="AN5" s="39">
        <f t="shared" si="3"/>
        <v>122</v>
      </c>
      <c r="AO5" s="39">
        <f t="shared" si="3"/>
        <v>225.76800000000003</v>
      </c>
      <c r="AP5" s="39">
        <f t="shared" si="3"/>
        <v>393</v>
      </c>
      <c r="AQ5" s="39">
        <f t="shared" si="3"/>
        <v>443</v>
      </c>
      <c r="AR5" s="39">
        <f t="shared" si="3"/>
        <v>562.6469999999999</v>
      </c>
      <c r="AS5" s="39">
        <f t="shared" si="3"/>
        <v>547.702</v>
      </c>
      <c r="AT5" s="39">
        <f t="shared" si="3"/>
        <v>352.89700000000016</v>
      </c>
      <c r="AU5" s="39">
        <f t="shared" si="3"/>
        <v>443.97400000000005</v>
      </c>
      <c r="AV5" s="39">
        <f t="shared" si="3"/>
        <v>581.0029999999999</v>
      </c>
      <c r="AW5" s="39"/>
      <c r="AX5" s="39"/>
    </row>
    <row r="6" spans="1:50" ht="15.75" customHeight="1" thickBot="1">
      <c r="A6" s="94" t="s">
        <v>23</v>
      </c>
      <c r="B6" s="19" t="s">
        <v>4</v>
      </c>
      <c r="C6" s="19"/>
      <c r="D6" s="19"/>
      <c r="E6" s="140"/>
      <c r="F6" s="21"/>
      <c r="G6" s="21"/>
      <c r="H6" s="21"/>
      <c r="I6" s="21"/>
      <c r="J6" s="19" t="s">
        <v>20</v>
      </c>
      <c r="K6" s="21"/>
      <c r="L6" s="21"/>
      <c r="M6" s="21"/>
      <c r="N6" s="21"/>
      <c r="O6" s="48"/>
      <c r="P6" s="74" t="s">
        <v>28</v>
      </c>
      <c r="Q6" s="21"/>
      <c r="R6" s="21"/>
      <c r="S6" s="130"/>
      <c r="T6" s="130"/>
      <c r="U6" s="130"/>
      <c r="V6" s="130"/>
      <c r="W6" s="130"/>
      <c r="X6" s="130"/>
      <c r="Y6" s="130"/>
      <c r="Z6" s="144"/>
      <c r="AA6" s="144"/>
      <c r="AB6" s="121" t="s">
        <v>78</v>
      </c>
      <c r="AC6" s="119" t="s">
        <v>25</v>
      </c>
      <c r="AD6" s="120" t="s">
        <v>22</v>
      </c>
      <c r="AE6" s="77"/>
      <c r="AF6" s="3" t="s">
        <v>31</v>
      </c>
      <c r="AG6" s="39">
        <f>J41</f>
        <v>25</v>
      </c>
      <c r="AH6" s="39">
        <f>K41</f>
        <v>30</v>
      </c>
      <c r="AI6" s="39">
        <f>L41</f>
        <v>441</v>
      </c>
      <c r="AJ6" s="39">
        <f>M41</f>
        <v>483</v>
      </c>
      <c r="AK6" s="39">
        <f>N41</f>
        <v>1174</v>
      </c>
      <c r="AL6" s="39">
        <f>O41</f>
        <v>1432</v>
      </c>
      <c r="AM6" s="39">
        <f>P41</f>
        <v>1477</v>
      </c>
      <c r="AN6" s="39">
        <f>Q41</f>
        <v>1838</v>
      </c>
      <c r="AO6" s="39">
        <f>R41</f>
        <v>1813.614</v>
      </c>
      <c r="AP6" s="39">
        <f>S41</f>
        <v>2091</v>
      </c>
      <c r="AQ6" s="39">
        <f>T41</f>
        <v>1690</v>
      </c>
      <c r="AR6" s="39">
        <f>U41</f>
        <v>604</v>
      </c>
      <c r="AS6" s="39">
        <f>V41</f>
        <v>0</v>
      </c>
      <c r="AT6" s="39">
        <f>W41</f>
        <v>0</v>
      </c>
      <c r="AU6" s="39">
        <f>X41</f>
        <v>0</v>
      </c>
      <c r="AV6" s="39">
        <f>Y41</f>
        <v>0</v>
      </c>
      <c r="AW6" s="39"/>
      <c r="AX6" s="39"/>
    </row>
    <row r="7" spans="1:50" ht="15.75" customHeight="1">
      <c r="A7" s="94" t="s">
        <v>33</v>
      </c>
      <c r="B7" s="15" t="s">
        <v>91</v>
      </c>
      <c r="C7" s="23"/>
      <c r="D7" s="23"/>
      <c r="E7" s="2"/>
      <c r="F7" s="13"/>
      <c r="G7" s="13"/>
      <c r="H7" s="13"/>
      <c r="I7" s="13">
        <v>250</v>
      </c>
      <c r="J7" s="23">
        <v>250</v>
      </c>
      <c r="K7" s="13">
        <v>250</v>
      </c>
      <c r="L7" s="2">
        <v>250</v>
      </c>
      <c r="M7" s="2">
        <v>250</v>
      </c>
      <c r="N7" s="2">
        <v>250</v>
      </c>
      <c r="O7" s="2">
        <v>250</v>
      </c>
      <c r="P7" s="71">
        <v>250</v>
      </c>
      <c r="Q7" s="13">
        <v>200</v>
      </c>
      <c r="R7" s="13">
        <v>200</v>
      </c>
      <c r="S7" s="131">
        <v>200</v>
      </c>
      <c r="T7" s="135">
        <v>200</v>
      </c>
      <c r="U7" s="135">
        <v>200</v>
      </c>
      <c r="V7" s="136">
        <v>200</v>
      </c>
      <c r="W7" s="135">
        <v>225</v>
      </c>
      <c r="X7" s="135">
        <v>250</v>
      </c>
      <c r="Y7" s="135">
        <v>250</v>
      </c>
      <c r="Z7" s="145"/>
      <c r="AA7" s="145"/>
      <c r="AB7" s="125">
        <f aca="true" t="shared" si="4" ref="AB7:AB36">SUM(J7:Y7)</f>
        <v>3675</v>
      </c>
      <c r="AC7" s="59">
        <f aca="true" t="shared" si="5" ref="AC7:AC37">AB7/AB$39</f>
        <v>0.24811939005434858</v>
      </c>
      <c r="AD7" s="72">
        <f aca="true" t="shared" si="6" ref="AD7:AD37">AB7/AB$44</f>
        <v>0.12290433066702838</v>
      </c>
      <c r="AE7" s="77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2" ht="15.75" customHeight="1">
      <c r="A8" s="94" t="s">
        <v>37</v>
      </c>
      <c r="B8" s="15" t="s">
        <v>6</v>
      </c>
      <c r="C8" s="23"/>
      <c r="D8" s="23">
        <v>25</v>
      </c>
      <c r="E8" s="2"/>
      <c r="F8" s="13"/>
      <c r="G8" s="13"/>
      <c r="H8" s="13"/>
      <c r="I8" s="13"/>
      <c r="J8" s="23">
        <f>75+37.5+10</f>
        <v>122.5</v>
      </c>
      <c r="K8" s="13">
        <f>37.5+37.5+30</f>
        <v>105</v>
      </c>
      <c r="L8" s="13">
        <f>37.5+37.5+37.5</f>
        <v>112.5</v>
      </c>
      <c r="M8" s="13">
        <v>75</v>
      </c>
      <c r="N8" s="13">
        <v>75</v>
      </c>
      <c r="O8" s="2">
        <f>75+35</f>
        <v>110</v>
      </c>
      <c r="P8" s="73">
        <v>75</v>
      </c>
      <c r="Q8" s="13">
        <v>60</v>
      </c>
      <c r="R8" s="13">
        <v>60</v>
      </c>
      <c r="S8" s="131">
        <v>40</v>
      </c>
      <c r="T8" s="135">
        <v>30</v>
      </c>
      <c r="U8" s="135">
        <v>30</v>
      </c>
      <c r="V8" s="136">
        <v>25</v>
      </c>
      <c r="W8" s="135">
        <f>15+25</f>
        <v>40</v>
      </c>
      <c r="X8" s="135">
        <v>35</v>
      </c>
      <c r="Y8" s="135">
        <v>50</v>
      </c>
      <c r="Z8" s="145"/>
      <c r="AA8" s="145"/>
      <c r="AB8" s="125">
        <f t="shared" si="4"/>
        <v>1045</v>
      </c>
      <c r="AC8" s="59">
        <f t="shared" si="5"/>
        <v>0.07055367689980796</v>
      </c>
      <c r="AD8" s="72">
        <f t="shared" si="6"/>
        <v>0.03494830627130467</v>
      </c>
      <c r="AE8" s="77"/>
      <c r="AF8" s="39" t="s">
        <v>9</v>
      </c>
      <c r="AG8" s="39">
        <f>J44</f>
        <v>1547</v>
      </c>
      <c r="AH8" s="39">
        <f aca="true" t="shared" si="7" ref="AH8:AV8">K44</f>
        <v>1198</v>
      </c>
      <c r="AI8" s="39">
        <f t="shared" si="7"/>
        <v>1060</v>
      </c>
      <c r="AJ8" s="39">
        <f t="shared" si="7"/>
        <v>1772</v>
      </c>
      <c r="AK8" s="39">
        <f t="shared" si="7"/>
        <v>1952</v>
      </c>
      <c r="AL8" s="39">
        <f t="shared" si="7"/>
        <v>2754</v>
      </c>
      <c r="AM8" s="39">
        <f t="shared" si="7"/>
        <v>2368</v>
      </c>
      <c r="AN8" s="39">
        <f t="shared" si="7"/>
        <v>2555</v>
      </c>
      <c r="AO8" s="39">
        <f t="shared" si="7"/>
        <v>2542.818</v>
      </c>
      <c r="AP8" s="39">
        <f t="shared" si="7"/>
        <v>2844</v>
      </c>
      <c r="AQ8" s="39">
        <f t="shared" si="7"/>
        <v>2523</v>
      </c>
      <c r="AR8" s="39">
        <f t="shared" si="7"/>
        <v>1839.843</v>
      </c>
      <c r="AS8" s="39">
        <f t="shared" si="7"/>
        <v>1214.025</v>
      </c>
      <c r="AT8" s="39">
        <f t="shared" si="7"/>
        <v>1309.243</v>
      </c>
      <c r="AU8" s="39">
        <f t="shared" si="7"/>
        <v>1167.745</v>
      </c>
      <c r="AV8" s="39">
        <f t="shared" si="7"/>
        <v>1254.632</v>
      </c>
      <c r="AW8" s="39"/>
      <c r="AX8" s="39"/>
      <c r="AY8">
        <f>2615328/3112237</f>
        <v>0.8403370308880719</v>
      </c>
      <c r="AZ8">
        <f>133895/2599</f>
        <v>51.51789149672951</v>
      </c>
    </row>
    <row r="9" spans="1:52" ht="15.75" customHeight="1">
      <c r="A9" s="58" t="s">
        <v>39</v>
      </c>
      <c r="B9" s="15" t="s">
        <v>64</v>
      </c>
      <c r="C9" s="24"/>
      <c r="D9" s="24" t="s">
        <v>95</v>
      </c>
      <c r="E9" s="32"/>
      <c r="F9" s="12"/>
      <c r="G9" s="12"/>
      <c r="H9" s="12"/>
      <c r="I9" s="12"/>
      <c r="J9" s="24"/>
      <c r="K9" s="32">
        <v>32.5</v>
      </c>
      <c r="L9" s="32">
        <v>32.5</v>
      </c>
      <c r="M9" s="32">
        <v>35</v>
      </c>
      <c r="N9" s="32">
        <v>35</v>
      </c>
      <c r="O9" s="32">
        <v>35</v>
      </c>
      <c r="P9" s="51">
        <v>40</v>
      </c>
      <c r="Q9" s="32">
        <v>40</v>
      </c>
      <c r="R9" s="32">
        <v>40</v>
      </c>
      <c r="S9" s="124">
        <v>40</v>
      </c>
      <c r="T9" s="137">
        <v>40</v>
      </c>
      <c r="U9" s="137">
        <v>45</v>
      </c>
      <c r="V9" s="138">
        <v>50</v>
      </c>
      <c r="W9" s="137">
        <v>50</v>
      </c>
      <c r="X9" s="137">
        <v>45</v>
      </c>
      <c r="Y9" s="137" t="s">
        <v>69</v>
      </c>
      <c r="Z9" s="146">
        <v>45</v>
      </c>
      <c r="AA9" s="146">
        <v>45</v>
      </c>
      <c r="AB9" s="125">
        <f t="shared" si="4"/>
        <v>560</v>
      </c>
      <c r="AC9" s="27">
        <f t="shared" si="5"/>
        <v>0.03780866896066264</v>
      </c>
      <c r="AD9" s="64">
        <f t="shared" si="6"/>
        <v>0.018728278958785278</v>
      </c>
      <c r="AE9" s="77"/>
      <c r="AF9" s="39" t="s">
        <v>99</v>
      </c>
      <c r="AG9" s="27">
        <f>AG3/AG8</f>
        <v>0.08532643826761474</v>
      </c>
      <c r="AH9" s="27">
        <f aca="true" t="shared" si="8" ref="AH9:AV9">AH3/AH8</f>
        <v>0.0993322203672788</v>
      </c>
      <c r="AI9" s="27">
        <f t="shared" si="8"/>
        <v>0.10471698113207548</v>
      </c>
      <c r="AJ9" s="27">
        <f t="shared" si="8"/>
        <v>0.061512415349887134</v>
      </c>
      <c r="AK9" s="27">
        <f t="shared" si="8"/>
        <v>0.048668032786885244</v>
      </c>
      <c r="AL9" s="27">
        <f t="shared" si="8"/>
        <v>0.03376906318082789</v>
      </c>
      <c r="AM9" s="27">
        <f t="shared" si="8"/>
        <v>0.037162162162162164</v>
      </c>
      <c r="AN9" s="27">
        <f t="shared" si="8"/>
        <v>0.03091976516634051</v>
      </c>
      <c r="AO9" s="27">
        <f t="shared" si="8"/>
        <v>0.029982877264515193</v>
      </c>
      <c r="AP9" s="27">
        <f t="shared" si="8"/>
        <v>0.03164556962025317</v>
      </c>
      <c r="AQ9" s="27">
        <f t="shared" si="8"/>
        <v>0.024177566389219182</v>
      </c>
      <c r="AR9" s="27">
        <f t="shared" si="8"/>
        <v>0.05326541449460633</v>
      </c>
      <c r="AS9" s="27">
        <f t="shared" si="8"/>
        <v>0.0971973394287597</v>
      </c>
      <c r="AT9" s="27">
        <f t="shared" si="8"/>
        <v>0.08172661606745273</v>
      </c>
      <c r="AU9" s="27">
        <f t="shared" si="8"/>
        <v>0.1036185126033509</v>
      </c>
      <c r="AV9" s="27">
        <f t="shared" si="8"/>
        <v>0.106804226259174</v>
      </c>
      <c r="AW9" s="39"/>
      <c r="AX9" s="39"/>
      <c r="AY9">
        <f>AV3/1197.08</f>
        <v>0.11193905169245164</v>
      </c>
      <c r="AZ9">
        <f>2591*0.65</f>
        <v>1684.15</v>
      </c>
    </row>
    <row r="10" spans="1:50" ht="15.75" customHeight="1">
      <c r="A10" s="94"/>
      <c r="B10" s="15" t="s">
        <v>71</v>
      </c>
      <c r="C10" s="23"/>
      <c r="D10" s="23"/>
      <c r="E10" s="2"/>
      <c r="F10" s="13"/>
      <c r="G10" s="13"/>
      <c r="H10" s="13"/>
      <c r="I10" s="13"/>
      <c r="J10" s="23"/>
      <c r="K10" s="13"/>
      <c r="L10" s="13"/>
      <c r="M10" s="13"/>
      <c r="N10" s="13"/>
      <c r="O10" s="2"/>
      <c r="P10" s="73"/>
      <c r="Q10" s="13"/>
      <c r="R10" s="13"/>
      <c r="S10" s="131"/>
      <c r="T10" s="135">
        <v>75</v>
      </c>
      <c r="U10" s="135">
        <v>158.353</v>
      </c>
      <c r="V10" s="136">
        <v>106.739</v>
      </c>
      <c r="W10" s="136">
        <v>84.868</v>
      </c>
      <c r="X10" s="135">
        <v>50</v>
      </c>
      <c r="Y10" s="136">
        <v>40.127</v>
      </c>
      <c r="Z10" s="145" t="s">
        <v>1</v>
      </c>
      <c r="AA10" s="145"/>
      <c r="AB10" s="125">
        <f t="shared" si="4"/>
        <v>515.087</v>
      </c>
      <c r="AC10" s="59">
        <f t="shared" si="5"/>
        <v>0.03477634619453721</v>
      </c>
      <c r="AD10" s="72">
        <f t="shared" si="6"/>
        <v>0.017226237542935414</v>
      </c>
      <c r="AE10" s="77"/>
      <c r="AF10" s="39"/>
      <c r="AG10" s="3"/>
      <c r="AH10" s="3"/>
      <c r="AI10" s="3"/>
      <c r="AJ10" s="3"/>
      <c r="AK10" s="3"/>
      <c r="AL10" s="3"/>
      <c r="AM10" s="3"/>
      <c r="AN10" s="3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1" spans="1:50" ht="15.75" customHeight="1">
      <c r="A11" s="58" t="s">
        <v>63</v>
      </c>
      <c r="B11" s="15" t="s">
        <v>90</v>
      </c>
      <c r="C11" s="24"/>
      <c r="D11" s="24"/>
      <c r="E11" s="32"/>
      <c r="F11" s="12"/>
      <c r="G11" s="12"/>
      <c r="H11" s="12"/>
      <c r="I11" s="12"/>
      <c r="J11" s="122"/>
      <c r="K11" s="12">
        <v>30</v>
      </c>
      <c r="L11" s="12"/>
      <c r="M11" s="12"/>
      <c r="N11" s="32">
        <v>30</v>
      </c>
      <c r="O11" s="32">
        <v>35</v>
      </c>
      <c r="P11" s="51">
        <v>40</v>
      </c>
      <c r="Q11" s="32">
        <v>40</v>
      </c>
      <c r="R11" s="32">
        <v>40</v>
      </c>
      <c r="S11" s="124" t="s">
        <v>69</v>
      </c>
      <c r="T11" s="137" t="s">
        <v>69</v>
      </c>
      <c r="U11" s="137">
        <v>50</v>
      </c>
      <c r="V11" s="138">
        <v>50</v>
      </c>
      <c r="W11" s="137">
        <v>50</v>
      </c>
      <c r="X11" s="137">
        <v>50</v>
      </c>
      <c r="Y11" s="137">
        <v>60</v>
      </c>
      <c r="Z11" s="146"/>
      <c r="AA11" s="146"/>
      <c r="AB11" s="125">
        <f t="shared" si="4"/>
        <v>475</v>
      </c>
      <c r="AC11" s="27">
        <f t="shared" si="5"/>
        <v>0.03206985313627635</v>
      </c>
      <c r="AD11" s="64">
        <f t="shared" si="6"/>
        <v>0.01588559375968394</v>
      </c>
      <c r="AE11" s="77"/>
      <c r="AF11" s="39"/>
      <c r="AG11" s="3"/>
      <c r="AH11" s="3"/>
      <c r="AI11" s="3"/>
      <c r="AJ11" s="3"/>
      <c r="AK11" s="3"/>
      <c r="AL11" s="3"/>
      <c r="AM11" s="3"/>
      <c r="AN11" s="3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1:50" ht="15.75" customHeight="1">
      <c r="A12" s="94" t="s">
        <v>38</v>
      </c>
      <c r="B12" s="15" t="s">
        <v>70</v>
      </c>
      <c r="C12" s="24"/>
      <c r="D12" s="24"/>
      <c r="E12" s="32"/>
      <c r="F12" s="12"/>
      <c r="G12" s="12"/>
      <c r="H12" s="12"/>
      <c r="I12" s="12">
        <v>30</v>
      </c>
      <c r="J12" s="24">
        <v>30</v>
      </c>
      <c r="K12" s="12">
        <v>30</v>
      </c>
      <c r="L12" s="12">
        <v>30</v>
      </c>
      <c r="M12" s="12">
        <v>40</v>
      </c>
      <c r="N12" s="12">
        <v>40</v>
      </c>
      <c r="O12" s="32">
        <v>50</v>
      </c>
      <c r="P12" s="50">
        <v>50</v>
      </c>
      <c r="Q12" s="12">
        <v>50</v>
      </c>
      <c r="R12" s="32">
        <v>40</v>
      </c>
      <c r="S12" s="124" t="s">
        <v>66</v>
      </c>
      <c r="T12" s="137"/>
      <c r="U12" s="137"/>
      <c r="V12" s="138"/>
      <c r="W12" s="137">
        <v>40</v>
      </c>
      <c r="X12" s="137">
        <v>50</v>
      </c>
      <c r="Y12" s="137" t="s">
        <v>69</v>
      </c>
      <c r="Z12" s="146"/>
      <c r="AA12" s="146"/>
      <c r="AB12" s="125">
        <f t="shared" si="4"/>
        <v>450</v>
      </c>
      <c r="AC12" s="27">
        <f t="shared" si="5"/>
        <v>0.030381966129103908</v>
      </c>
      <c r="AD12" s="64">
        <f t="shared" si="6"/>
        <v>0.015049509877595313</v>
      </c>
      <c r="AE12" s="77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customHeight="1">
      <c r="A13" s="94" t="s">
        <v>35</v>
      </c>
      <c r="B13" s="97" t="s">
        <v>89</v>
      </c>
      <c r="C13" s="24"/>
      <c r="D13" s="24"/>
      <c r="E13" s="32"/>
      <c r="F13" s="12"/>
      <c r="G13" s="12"/>
      <c r="H13" s="12"/>
      <c r="I13" s="12">
        <v>0</v>
      </c>
      <c r="J13" s="24"/>
      <c r="K13" s="12"/>
      <c r="L13" s="32"/>
      <c r="M13" s="12">
        <v>42</v>
      </c>
      <c r="N13" s="12">
        <v>42</v>
      </c>
      <c r="O13" s="32">
        <v>42</v>
      </c>
      <c r="P13" s="50">
        <v>42</v>
      </c>
      <c r="Q13" s="12">
        <v>40</v>
      </c>
      <c r="R13" s="12">
        <v>42</v>
      </c>
      <c r="S13" s="124" t="s">
        <v>1</v>
      </c>
      <c r="T13" s="137" t="s">
        <v>1</v>
      </c>
      <c r="U13" s="137">
        <v>50</v>
      </c>
      <c r="V13" s="138">
        <v>57.5</v>
      </c>
      <c r="W13" s="137">
        <v>50</v>
      </c>
      <c r="X13" s="137"/>
      <c r="Y13" s="137"/>
      <c r="Z13" s="146"/>
      <c r="AA13" s="146"/>
      <c r="AB13" s="150">
        <f t="shared" si="4"/>
        <v>407.5</v>
      </c>
      <c r="AC13" s="27">
        <f t="shared" si="5"/>
        <v>0.027512558216910763</v>
      </c>
      <c r="AD13" s="64">
        <f t="shared" si="6"/>
        <v>0.013628167278044645</v>
      </c>
      <c r="AE13" s="77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.75" customHeight="1">
      <c r="A14" s="94" t="s">
        <v>36</v>
      </c>
      <c r="B14" s="97" t="s">
        <v>58</v>
      </c>
      <c r="C14" s="24"/>
      <c r="D14" s="24">
        <v>50</v>
      </c>
      <c r="E14" s="32"/>
      <c r="F14" s="12"/>
      <c r="G14" s="12"/>
      <c r="H14" s="12"/>
      <c r="I14" s="12"/>
      <c r="J14" s="24">
        <v>150</v>
      </c>
      <c r="K14" s="12"/>
      <c r="L14" s="12"/>
      <c r="M14" s="12">
        <v>50</v>
      </c>
      <c r="N14" s="12">
        <v>50</v>
      </c>
      <c r="O14" s="32"/>
      <c r="P14" s="50">
        <v>100</v>
      </c>
      <c r="Q14" s="12"/>
      <c r="R14" s="12"/>
      <c r="S14" s="124"/>
      <c r="T14" s="137"/>
      <c r="U14" s="137"/>
      <c r="V14" s="138"/>
      <c r="W14" s="137"/>
      <c r="X14" s="137"/>
      <c r="Y14" s="137"/>
      <c r="Z14" s="146"/>
      <c r="AA14" s="146"/>
      <c r="AB14" s="150">
        <f t="shared" si="4"/>
        <v>350</v>
      </c>
      <c r="AC14" s="27">
        <f t="shared" si="5"/>
        <v>0.02363041810041415</v>
      </c>
      <c r="AD14" s="64">
        <f t="shared" si="6"/>
        <v>0.011705174349240798</v>
      </c>
      <c r="AE14" s="77"/>
      <c r="AF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31" ht="15.75" customHeight="1">
      <c r="A15" s="94"/>
      <c r="B15" s="147" t="s">
        <v>98</v>
      </c>
      <c r="C15" s="24"/>
      <c r="D15" s="24"/>
      <c r="E15" s="32"/>
      <c r="F15" s="12"/>
      <c r="G15" s="12"/>
      <c r="H15" s="12"/>
      <c r="I15" s="12"/>
      <c r="J15" s="24"/>
      <c r="K15" s="12"/>
      <c r="L15" s="12"/>
      <c r="M15" s="12"/>
      <c r="N15" s="12"/>
      <c r="O15" s="32"/>
      <c r="P15" s="50"/>
      <c r="Q15" s="12"/>
      <c r="R15" s="12"/>
      <c r="S15" s="124"/>
      <c r="T15" s="137"/>
      <c r="U15" s="137"/>
      <c r="V15" s="138"/>
      <c r="W15" s="137">
        <f>110+2.5+2*2+1*3+0.5+0.25+0.1*2+0.06+0.05</f>
        <v>120.56</v>
      </c>
      <c r="X15" s="137">
        <f>43.75+3+3+2*3+1*5+0.5+0.25+0.18+0.15+0.1*4+0.6+0.5*2</f>
        <v>63.83</v>
      </c>
      <c r="Y15" s="137">
        <v>113.95</v>
      </c>
      <c r="Z15" s="146"/>
      <c r="AA15" s="146"/>
      <c r="AB15" s="150">
        <f t="shared" si="4"/>
        <v>298.34</v>
      </c>
      <c r="AC15" s="27">
        <f t="shared" si="5"/>
        <v>0.02014256838879302</v>
      </c>
      <c r="AD15" s="64">
        <f t="shared" si="6"/>
        <v>0.009977490615292857</v>
      </c>
      <c r="AE15" s="77"/>
    </row>
    <row r="16" spans="1:31" ht="15.75" customHeight="1">
      <c r="A16" s="58" t="s">
        <v>40</v>
      </c>
      <c r="B16" s="97" t="s">
        <v>8</v>
      </c>
      <c r="C16" s="24"/>
      <c r="D16" s="24"/>
      <c r="E16" s="32"/>
      <c r="F16" s="12"/>
      <c r="G16" s="12"/>
      <c r="H16" s="12"/>
      <c r="I16" s="12">
        <v>0</v>
      </c>
      <c r="J16" s="24">
        <v>100</v>
      </c>
      <c r="K16" s="12"/>
      <c r="L16" s="12">
        <v>50</v>
      </c>
      <c r="M16" s="12"/>
      <c r="N16" s="32">
        <v>100</v>
      </c>
      <c r="O16" s="32"/>
      <c r="P16" s="51"/>
      <c r="Q16" s="32"/>
      <c r="R16" s="32"/>
      <c r="S16" s="124"/>
      <c r="T16" s="137" t="s">
        <v>69</v>
      </c>
      <c r="U16" s="137" t="s">
        <v>69</v>
      </c>
      <c r="V16" s="138" t="s">
        <v>1</v>
      </c>
      <c r="W16" s="137">
        <v>5</v>
      </c>
      <c r="X16" s="137" t="s">
        <v>69</v>
      </c>
      <c r="Y16" s="137" t="s">
        <v>69</v>
      </c>
      <c r="Z16" s="146"/>
      <c r="AA16" s="146"/>
      <c r="AB16" s="150">
        <f t="shared" si="4"/>
        <v>255</v>
      </c>
      <c r="AC16" s="27">
        <f t="shared" si="5"/>
        <v>0.017216447473158883</v>
      </c>
      <c r="AD16" s="64">
        <f t="shared" si="6"/>
        <v>0.00852805559730401</v>
      </c>
      <c r="AE16" s="77"/>
    </row>
    <row r="17" spans="1:31" ht="15.75" customHeight="1">
      <c r="A17" s="58" t="s">
        <v>41</v>
      </c>
      <c r="B17" s="97" t="s">
        <v>76</v>
      </c>
      <c r="C17" s="24"/>
      <c r="D17" s="24"/>
      <c r="E17" s="32"/>
      <c r="F17" s="12"/>
      <c r="G17" s="12"/>
      <c r="H17" s="12"/>
      <c r="I17" s="12"/>
      <c r="J17" s="24"/>
      <c r="K17" s="12">
        <v>75</v>
      </c>
      <c r="L17" s="12"/>
      <c r="M17" s="12"/>
      <c r="N17" s="32"/>
      <c r="O17" s="32">
        <v>75</v>
      </c>
      <c r="P17" s="51"/>
      <c r="Q17" s="32">
        <v>40</v>
      </c>
      <c r="R17" s="32"/>
      <c r="S17" s="124">
        <v>20</v>
      </c>
      <c r="T17" s="137"/>
      <c r="U17" s="137"/>
      <c r="V17" s="138">
        <v>35</v>
      </c>
      <c r="W17" s="137" t="s">
        <v>69</v>
      </c>
      <c r="X17" s="137" t="s">
        <v>69</v>
      </c>
      <c r="Y17" s="137" t="s">
        <v>69</v>
      </c>
      <c r="Z17" s="146"/>
      <c r="AA17" s="146"/>
      <c r="AB17" s="150">
        <f t="shared" si="4"/>
        <v>245</v>
      </c>
      <c r="AC17" s="27">
        <f t="shared" si="5"/>
        <v>0.016541292670289906</v>
      </c>
      <c r="AD17" s="64">
        <f t="shared" si="6"/>
        <v>0.008193622044468558</v>
      </c>
      <c r="AE17" s="77"/>
    </row>
    <row r="18" spans="1:31" ht="15.75" customHeight="1">
      <c r="A18" s="116" t="s">
        <v>65</v>
      </c>
      <c r="B18" s="97" t="s">
        <v>7</v>
      </c>
      <c r="C18" s="24"/>
      <c r="D18" s="24"/>
      <c r="E18" s="32"/>
      <c r="F18" s="12"/>
      <c r="G18" s="12"/>
      <c r="H18" s="12"/>
      <c r="I18" s="12"/>
      <c r="J18" s="24"/>
      <c r="K18" s="12">
        <v>23</v>
      </c>
      <c r="L18" s="12"/>
      <c r="M18" s="32">
        <v>73</v>
      </c>
      <c r="N18" s="32">
        <v>45</v>
      </c>
      <c r="O18" s="32">
        <f>27+1</f>
        <v>28</v>
      </c>
      <c r="P18" s="50">
        <v>75.6</v>
      </c>
      <c r="Q18" s="32"/>
      <c r="R18" s="12" t="s">
        <v>69</v>
      </c>
      <c r="S18" s="124"/>
      <c r="T18" s="137"/>
      <c r="U18" s="137"/>
      <c r="V18" s="138"/>
      <c r="W18" s="137" t="s">
        <v>69</v>
      </c>
      <c r="X18" s="137" t="s">
        <v>69</v>
      </c>
      <c r="Y18" s="137" t="s">
        <v>69</v>
      </c>
      <c r="Z18" s="146"/>
      <c r="AA18" s="146"/>
      <c r="AB18" s="150">
        <f t="shared" si="4"/>
        <v>244.6</v>
      </c>
      <c r="AC18" s="27">
        <f t="shared" si="5"/>
        <v>0.016514286478175145</v>
      </c>
      <c r="AD18" s="64">
        <f t="shared" si="6"/>
        <v>0.00818024470235514</v>
      </c>
      <c r="AE18" s="77"/>
    </row>
    <row r="19" spans="1:31" ht="15.75" customHeight="1">
      <c r="A19" s="94"/>
      <c r="B19" s="97" t="s">
        <v>72</v>
      </c>
      <c r="C19" s="24"/>
      <c r="D19" s="24"/>
      <c r="E19" s="32"/>
      <c r="F19" s="12"/>
      <c r="G19" s="12"/>
      <c r="H19" s="12"/>
      <c r="I19" s="12"/>
      <c r="J19" s="24"/>
      <c r="K19" s="12"/>
      <c r="L19" s="12"/>
      <c r="M19" s="12"/>
      <c r="N19" s="12"/>
      <c r="O19" s="32"/>
      <c r="P19" s="12"/>
      <c r="Q19" s="12"/>
      <c r="R19" s="12"/>
      <c r="S19" s="124"/>
      <c r="T19" s="137"/>
      <c r="U19" s="137"/>
      <c r="V19" s="138">
        <v>25</v>
      </c>
      <c r="W19" s="137">
        <v>25</v>
      </c>
      <c r="X19" s="137">
        <v>30</v>
      </c>
      <c r="Y19" s="137">
        <v>40</v>
      </c>
      <c r="Z19" s="146"/>
      <c r="AA19" s="146"/>
      <c r="AB19" s="150">
        <f t="shared" si="4"/>
        <v>120</v>
      </c>
      <c r="AC19" s="27">
        <f t="shared" si="5"/>
        <v>0.008101857634427709</v>
      </c>
      <c r="AD19" s="64">
        <f t="shared" si="6"/>
        <v>0.004013202634025417</v>
      </c>
      <c r="AE19" s="77"/>
    </row>
    <row r="20" spans="1:31" ht="15.75" customHeight="1">
      <c r="A20" s="94"/>
      <c r="B20" s="97" t="s">
        <v>73</v>
      </c>
      <c r="C20" s="24"/>
      <c r="D20" s="24"/>
      <c r="E20" s="32"/>
      <c r="F20" s="12"/>
      <c r="G20" s="12"/>
      <c r="H20" s="12"/>
      <c r="I20" s="12"/>
      <c r="J20" s="24"/>
      <c r="K20" s="12"/>
      <c r="L20" s="12">
        <v>25</v>
      </c>
      <c r="M20" s="12"/>
      <c r="N20" s="12">
        <v>25</v>
      </c>
      <c r="O20" s="32">
        <v>25</v>
      </c>
      <c r="P20" s="12">
        <v>10</v>
      </c>
      <c r="Q20" s="12"/>
      <c r="R20" s="12"/>
      <c r="S20" s="124"/>
      <c r="T20" s="137"/>
      <c r="U20" s="137"/>
      <c r="V20" s="138"/>
      <c r="W20" s="137"/>
      <c r="X20" s="137"/>
      <c r="Y20" s="137"/>
      <c r="Z20" s="146"/>
      <c r="AA20" s="146"/>
      <c r="AB20" s="150">
        <f t="shared" si="4"/>
        <v>85</v>
      </c>
      <c r="AC20" s="27">
        <f t="shared" si="5"/>
        <v>0.005738815824386294</v>
      </c>
      <c r="AD20" s="64">
        <f t="shared" si="6"/>
        <v>0.0028426851991013367</v>
      </c>
      <c r="AE20" s="77"/>
    </row>
    <row r="21" spans="1:31" ht="15.75" customHeight="1">
      <c r="A21" s="94"/>
      <c r="B21" s="97" t="s">
        <v>79</v>
      </c>
      <c r="C21" s="24"/>
      <c r="D21" s="24"/>
      <c r="E21" s="32"/>
      <c r="F21" s="12"/>
      <c r="G21" s="12"/>
      <c r="H21" s="12"/>
      <c r="I21" s="12"/>
      <c r="J21" s="24"/>
      <c r="K21" s="12">
        <v>5</v>
      </c>
      <c r="L21" s="12">
        <v>5</v>
      </c>
      <c r="M21" s="12">
        <v>5</v>
      </c>
      <c r="N21" s="12">
        <v>10</v>
      </c>
      <c r="O21" s="32"/>
      <c r="P21" s="12">
        <v>10</v>
      </c>
      <c r="Q21" s="12">
        <v>1</v>
      </c>
      <c r="R21" s="12"/>
      <c r="S21" s="124"/>
      <c r="T21" s="137"/>
      <c r="U21" s="137"/>
      <c r="V21" s="138">
        <v>7.5</v>
      </c>
      <c r="W21" s="137">
        <v>10</v>
      </c>
      <c r="X21" s="137">
        <v>10</v>
      </c>
      <c r="Y21" s="137">
        <v>10</v>
      </c>
      <c r="Z21" s="146"/>
      <c r="AA21" s="146"/>
      <c r="AB21" s="150">
        <f t="shared" si="4"/>
        <v>73.5</v>
      </c>
      <c r="AC21" s="27">
        <f t="shared" si="5"/>
        <v>0.0049623878010869715</v>
      </c>
      <c r="AD21" s="64">
        <f t="shared" si="6"/>
        <v>0.002458086613340568</v>
      </c>
      <c r="AE21" s="77"/>
    </row>
    <row r="22" spans="1:31" ht="15.75" customHeight="1">
      <c r="A22" s="94"/>
      <c r="B22" s="97" t="s">
        <v>74</v>
      </c>
      <c r="C22" s="24"/>
      <c r="D22" s="24"/>
      <c r="E22" s="32"/>
      <c r="F22" s="12"/>
      <c r="G22" s="12"/>
      <c r="H22" s="12"/>
      <c r="I22" s="12"/>
      <c r="J22" s="24"/>
      <c r="K22" s="12"/>
      <c r="L22" s="12"/>
      <c r="M22" s="12"/>
      <c r="N22" s="12"/>
      <c r="O22" s="32"/>
      <c r="P22" s="12"/>
      <c r="Q22" s="12"/>
      <c r="R22" s="12"/>
      <c r="S22" s="124"/>
      <c r="T22" s="137"/>
      <c r="U22" s="137">
        <v>30</v>
      </c>
      <c r="V22" s="138"/>
      <c r="W22" s="137">
        <v>20</v>
      </c>
      <c r="X22" s="137">
        <v>20</v>
      </c>
      <c r="Y22" s="137"/>
      <c r="Z22" s="146"/>
      <c r="AA22" s="146"/>
      <c r="AB22" s="150">
        <f t="shared" si="4"/>
        <v>70</v>
      </c>
      <c r="AC22" s="27">
        <f t="shared" si="5"/>
        <v>0.00472608362008283</v>
      </c>
      <c r="AD22" s="64">
        <f t="shared" si="6"/>
        <v>0.0023410348698481597</v>
      </c>
      <c r="AE22" s="77"/>
    </row>
    <row r="23" spans="1:31" ht="15.75" customHeight="1">
      <c r="A23" s="94"/>
      <c r="B23" s="97" t="s">
        <v>75</v>
      </c>
      <c r="C23" s="24"/>
      <c r="D23" s="24"/>
      <c r="E23" s="32"/>
      <c r="F23" s="12"/>
      <c r="G23" s="12"/>
      <c r="H23" s="12"/>
      <c r="I23" s="12"/>
      <c r="J23" s="24"/>
      <c r="K23" s="12"/>
      <c r="L23" s="12"/>
      <c r="M23" s="12"/>
      <c r="N23" s="12"/>
      <c r="O23" s="32"/>
      <c r="P23" s="50"/>
      <c r="Q23" s="12"/>
      <c r="R23" s="12">
        <v>10</v>
      </c>
      <c r="S23" s="124"/>
      <c r="T23" s="137">
        <v>1</v>
      </c>
      <c r="U23" s="137">
        <v>1</v>
      </c>
      <c r="V23" s="138"/>
      <c r="W23" s="137">
        <v>20</v>
      </c>
      <c r="X23" s="137">
        <v>20</v>
      </c>
      <c r="Y23" s="137">
        <v>10</v>
      </c>
      <c r="Z23" s="146"/>
      <c r="AA23" s="146"/>
      <c r="AB23" s="150">
        <f t="shared" si="4"/>
        <v>62</v>
      </c>
      <c r="AC23" s="27">
        <f t="shared" si="5"/>
        <v>0.00418595977778765</v>
      </c>
      <c r="AD23" s="64">
        <f t="shared" si="6"/>
        <v>0.0020734880275797988</v>
      </c>
      <c r="AE23" s="39"/>
    </row>
    <row r="24" spans="1:31" ht="15.75" customHeight="1">
      <c r="A24" s="94" t="s">
        <v>67</v>
      </c>
      <c r="B24" s="97" t="s">
        <v>68</v>
      </c>
      <c r="C24" s="24"/>
      <c r="D24" s="24"/>
      <c r="E24" s="32"/>
      <c r="F24" s="12"/>
      <c r="G24" s="12"/>
      <c r="H24" s="12"/>
      <c r="I24" s="12"/>
      <c r="J24" s="24"/>
      <c r="K24" s="12"/>
      <c r="L24" s="12"/>
      <c r="M24" s="12"/>
      <c r="N24" s="12"/>
      <c r="O24" s="32"/>
      <c r="P24" s="50"/>
      <c r="Q24" s="12"/>
      <c r="R24" s="12"/>
      <c r="S24" s="124"/>
      <c r="T24" s="137"/>
      <c r="U24" s="137"/>
      <c r="V24" s="138"/>
      <c r="W24" s="137">
        <v>60</v>
      </c>
      <c r="X24" s="137"/>
      <c r="Y24" s="137"/>
      <c r="Z24" s="146"/>
      <c r="AA24" s="146"/>
      <c r="AB24" s="150">
        <f t="shared" si="4"/>
        <v>60</v>
      </c>
      <c r="AC24" s="27">
        <f t="shared" si="5"/>
        <v>0.004050928817213854</v>
      </c>
      <c r="AD24" s="64">
        <f t="shared" si="6"/>
        <v>0.0020066013170127084</v>
      </c>
      <c r="AE24" s="39"/>
    </row>
    <row r="25" spans="1:31" ht="15.75" customHeight="1">
      <c r="A25" s="94"/>
      <c r="B25" s="97" t="s">
        <v>77</v>
      </c>
      <c r="C25" s="24"/>
      <c r="D25" s="24"/>
      <c r="E25" s="32"/>
      <c r="F25" s="12"/>
      <c r="G25" s="12"/>
      <c r="H25" s="12"/>
      <c r="I25" s="12"/>
      <c r="J25" s="24"/>
      <c r="K25" s="12"/>
      <c r="L25" s="12"/>
      <c r="M25" s="12"/>
      <c r="N25" s="12"/>
      <c r="O25" s="32"/>
      <c r="P25" s="12"/>
      <c r="Q25" s="12"/>
      <c r="R25" s="12"/>
      <c r="S25" s="124"/>
      <c r="T25" s="137"/>
      <c r="U25" s="137">
        <v>45</v>
      </c>
      <c r="V25" s="138"/>
      <c r="W25" s="137"/>
      <c r="X25" s="137"/>
      <c r="Y25" s="137"/>
      <c r="Z25" s="146"/>
      <c r="AA25" s="146"/>
      <c r="AB25" s="150">
        <f t="shared" si="4"/>
        <v>45</v>
      </c>
      <c r="AC25" s="27">
        <f t="shared" si="5"/>
        <v>0.003038196612910391</v>
      </c>
      <c r="AD25" s="64">
        <f t="shared" si="6"/>
        <v>0.0015049509877595312</v>
      </c>
      <c r="AE25" s="77"/>
    </row>
    <row r="26" spans="1:31" ht="15.75" customHeight="1">
      <c r="A26" s="94"/>
      <c r="B26" s="147" t="s">
        <v>96</v>
      </c>
      <c r="C26" s="24"/>
      <c r="D26" s="24"/>
      <c r="E26" s="32"/>
      <c r="F26" s="12"/>
      <c r="G26" s="12"/>
      <c r="H26" s="12"/>
      <c r="I26" s="12"/>
      <c r="J26" s="24"/>
      <c r="K26" s="12"/>
      <c r="L26" s="12"/>
      <c r="M26" s="32">
        <v>0.5</v>
      </c>
      <c r="N26" s="32">
        <v>0.5</v>
      </c>
      <c r="O26" s="32"/>
      <c r="P26" s="50"/>
      <c r="Q26" s="12"/>
      <c r="R26" s="32"/>
      <c r="S26" s="124"/>
      <c r="T26" s="137"/>
      <c r="U26" s="137">
        <v>10</v>
      </c>
      <c r="V26" s="138">
        <v>10</v>
      </c>
      <c r="W26" s="137">
        <v>10</v>
      </c>
      <c r="X26" s="137"/>
      <c r="Y26" s="137">
        <v>12</v>
      </c>
      <c r="Z26" s="146"/>
      <c r="AA26" s="146"/>
      <c r="AB26" s="150">
        <f t="shared" si="4"/>
        <v>43</v>
      </c>
      <c r="AC26" s="27">
        <f t="shared" si="5"/>
        <v>0.002903165652336596</v>
      </c>
      <c r="AD26" s="64">
        <f t="shared" si="6"/>
        <v>0.001438064277192441</v>
      </c>
      <c r="AE26" s="77"/>
    </row>
    <row r="27" spans="1:31" ht="15.75" customHeight="1">
      <c r="A27" s="94"/>
      <c r="B27" s="97" t="s">
        <v>94</v>
      </c>
      <c r="C27" s="24"/>
      <c r="D27" s="24"/>
      <c r="E27" s="32"/>
      <c r="F27" s="12"/>
      <c r="G27" s="12"/>
      <c r="H27" s="12"/>
      <c r="I27" s="12"/>
      <c r="J27" s="24"/>
      <c r="K27" s="12"/>
      <c r="L27" s="12">
        <v>5</v>
      </c>
      <c r="M27" s="32"/>
      <c r="N27" s="32"/>
      <c r="O27" s="32"/>
      <c r="P27" s="50"/>
      <c r="Q27" s="12"/>
      <c r="R27" s="32"/>
      <c r="S27" s="124"/>
      <c r="T27" s="137"/>
      <c r="U27" s="137"/>
      <c r="V27" s="138">
        <v>7.5</v>
      </c>
      <c r="W27" s="137">
        <v>10</v>
      </c>
      <c r="X27" s="137">
        <v>10</v>
      </c>
      <c r="Y27" s="137">
        <v>10</v>
      </c>
      <c r="Z27" s="146"/>
      <c r="AA27" s="146"/>
      <c r="AB27" s="150">
        <f t="shared" si="4"/>
        <v>42.5</v>
      </c>
      <c r="AC27" s="27">
        <f t="shared" si="5"/>
        <v>0.002869407912193147</v>
      </c>
      <c r="AD27" s="64">
        <f t="shared" si="6"/>
        <v>0.0014213425995506684</v>
      </c>
      <c r="AE27" s="39"/>
    </row>
    <row r="28" spans="1:31" ht="15.75" customHeight="1">
      <c r="A28" s="94"/>
      <c r="B28" s="97" t="s">
        <v>93</v>
      </c>
      <c r="C28" s="24"/>
      <c r="D28" s="24"/>
      <c r="E28" s="32"/>
      <c r="F28" s="12"/>
      <c r="G28" s="12"/>
      <c r="H28" s="12"/>
      <c r="I28" s="12"/>
      <c r="J28" s="24"/>
      <c r="K28" s="12"/>
      <c r="L28" s="12">
        <v>10</v>
      </c>
      <c r="M28" s="32"/>
      <c r="N28" s="32"/>
      <c r="O28" s="32"/>
      <c r="P28" s="50"/>
      <c r="Q28" s="12"/>
      <c r="R28" s="32"/>
      <c r="S28" s="124"/>
      <c r="T28" s="137">
        <v>10</v>
      </c>
      <c r="U28" s="137">
        <v>2</v>
      </c>
      <c r="V28" s="138">
        <v>12.5</v>
      </c>
      <c r="W28" s="137">
        <v>3</v>
      </c>
      <c r="X28" s="137">
        <v>3</v>
      </c>
      <c r="Y28" s="137"/>
      <c r="Z28" s="146"/>
      <c r="AA28" s="146"/>
      <c r="AB28" s="150">
        <f t="shared" si="4"/>
        <v>40.5</v>
      </c>
      <c r="AC28" s="27">
        <f t="shared" si="5"/>
        <v>0.0027343769516193516</v>
      </c>
      <c r="AD28" s="64">
        <f t="shared" si="6"/>
        <v>0.0013544558889835782</v>
      </c>
      <c r="AE28" s="77"/>
    </row>
    <row r="29" spans="1:33" ht="15.75" customHeight="1">
      <c r="A29" s="94"/>
      <c r="B29" s="97" t="s">
        <v>80</v>
      </c>
      <c r="C29" s="24"/>
      <c r="D29" s="24"/>
      <c r="E29" s="32"/>
      <c r="F29" s="12"/>
      <c r="G29" s="12"/>
      <c r="H29" s="12"/>
      <c r="I29" s="12"/>
      <c r="J29" s="24"/>
      <c r="K29" s="12"/>
      <c r="L29" s="12">
        <v>10</v>
      </c>
      <c r="M29" s="12"/>
      <c r="N29" s="12"/>
      <c r="O29" s="32"/>
      <c r="P29" s="50"/>
      <c r="Q29" s="12"/>
      <c r="R29" s="12">
        <v>10</v>
      </c>
      <c r="S29" s="124"/>
      <c r="T29" s="137"/>
      <c r="U29" s="137">
        <v>2</v>
      </c>
      <c r="V29" s="138">
        <v>12.5</v>
      </c>
      <c r="W29" s="137">
        <v>3</v>
      </c>
      <c r="X29" s="137"/>
      <c r="Y29" s="137"/>
      <c r="Z29" s="146"/>
      <c r="AA29" s="146"/>
      <c r="AB29" s="150">
        <f t="shared" si="4"/>
        <v>37.5</v>
      </c>
      <c r="AC29" s="27">
        <f t="shared" si="5"/>
        <v>0.002531830510758659</v>
      </c>
      <c r="AD29" s="64">
        <f t="shared" si="6"/>
        <v>0.0012541258231329427</v>
      </c>
      <c r="AE29" s="39"/>
      <c r="AG29" s="151" t="s">
        <v>100</v>
      </c>
    </row>
    <row r="30" spans="1:31" ht="15.75" customHeight="1">
      <c r="A30" s="94"/>
      <c r="B30" s="97" t="s">
        <v>81</v>
      </c>
      <c r="C30" s="24"/>
      <c r="D30" s="24" t="s">
        <v>82</v>
      </c>
      <c r="E30" s="32"/>
      <c r="F30" s="12"/>
      <c r="G30" s="12"/>
      <c r="H30" s="12"/>
      <c r="I30" s="12"/>
      <c r="J30" s="24"/>
      <c r="K30" s="12"/>
      <c r="L30" s="12"/>
      <c r="M30" s="12"/>
      <c r="N30" s="12"/>
      <c r="O30" s="32"/>
      <c r="P30" s="50"/>
      <c r="Q30" s="12"/>
      <c r="R30" s="12"/>
      <c r="S30" s="124"/>
      <c r="T30" s="137"/>
      <c r="U30" s="137"/>
      <c r="V30" s="138">
        <v>10</v>
      </c>
      <c r="W30" s="137">
        <v>15</v>
      </c>
      <c r="X30" s="137">
        <v>10</v>
      </c>
      <c r="Y30" s="137"/>
      <c r="Z30" s="146"/>
      <c r="AA30" s="146"/>
      <c r="AB30" s="150">
        <f t="shared" si="4"/>
        <v>35</v>
      </c>
      <c r="AC30" s="27">
        <f t="shared" si="5"/>
        <v>0.002363041810041415</v>
      </c>
      <c r="AD30" s="64">
        <f t="shared" si="6"/>
        <v>0.0011705174349240799</v>
      </c>
      <c r="AE30" s="39"/>
    </row>
    <row r="31" spans="1:31" ht="15.75" customHeight="1">
      <c r="A31" s="94"/>
      <c r="B31" s="147" t="s">
        <v>97</v>
      </c>
      <c r="C31" s="24"/>
      <c r="D31" s="24"/>
      <c r="E31" s="32"/>
      <c r="F31" s="12"/>
      <c r="G31" s="12"/>
      <c r="H31" s="12"/>
      <c r="I31" s="12"/>
      <c r="J31" s="24"/>
      <c r="K31" s="12"/>
      <c r="L31" s="12"/>
      <c r="M31" s="12"/>
      <c r="N31" s="12"/>
      <c r="O31" s="32"/>
      <c r="P31" s="50"/>
      <c r="Q31" s="12"/>
      <c r="R31" s="12"/>
      <c r="S31" s="124"/>
      <c r="T31" s="137"/>
      <c r="U31" s="137"/>
      <c r="V31" s="138"/>
      <c r="W31" s="138">
        <v>5</v>
      </c>
      <c r="X31" s="137">
        <f>7.5*2+2.5</f>
        <v>17.5</v>
      </c>
      <c r="Y31" s="137">
        <v>10</v>
      </c>
      <c r="Z31" s="146">
        <v>15</v>
      </c>
      <c r="AA31" s="146"/>
      <c r="AB31" s="150">
        <f t="shared" si="4"/>
        <v>32.5</v>
      </c>
      <c r="AC31" s="27">
        <f t="shared" si="5"/>
        <v>0.002194253109324171</v>
      </c>
      <c r="AD31" s="64">
        <f t="shared" si="6"/>
        <v>0.001086909046715217</v>
      </c>
      <c r="AE31" s="39"/>
    </row>
    <row r="32" spans="1:31" ht="15.75" customHeight="1">
      <c r="A32" s="94"/>
      <c r="B32" s="97" t="s">
        <v>84</v>
      </c>
      <c r="C32" s="24" t="s">
        <v>3</v>
      </c>
      <c r="D32" s="24"/>
      <c r="E32" s="32"/>
      <c r="F32" s="12"/>
      <c r="G32" s="12"/>
      <c r="H32" s="12"/>
      <c r="I32" s="12"/>
      <c r="J32" s="24"/>
      <c r="K32" s="12"/>
      <c r="L32" s="12"/>
      <c r="M32" s="12"/>
      <c r="N32" s="12"/>
      <c r="O32" s="32"/>
      <c r="P32" s="50"/>
      <c r="Q32" s="12"/>
      <c r="R32" s="12"/>
      <c r="S32" s="124"/>
      <c r="T32" s="137"/>
      <c r="U32" s="137"/>
      <c r="V32" s="138"/>
      <c r="W32" s="137">
        <v>10</v>
      </c>
      <c r="X32" s="137">
        <v>10</v>
      </c>
      <c r="Y32" s="137">
        <v>10</v>
      </c>
      <c r="Z32" s="146"/>
      <c r="AA32" s="146"/>
      <c r="AB32" s="150">
        <f t="shared" si="4"/>
        <v>30</v>
      </c>
      <c r="AC32" s="27">
        <f t="shared" si="5"/>
        <v>0.002025464408606927</v>
      </c>
      <c r="AD32" s="64">
        <f t="shared" si="6"/>
        <v>0.0010033006585063542</v>
      </c>
      <c r="AE32" s="39"/>
    </row>
    <row r="33" spans="1:31" ht="15.75" customHeight="1">
      <c r="A33" s="94"/>
      <c r="B33" s="97" t="s">
        <v>85</v>
      </c>
      <c r="C33" s="24"/>
      <c r="D33" s="24" t="s">
        <v>86</v>
      </c>
      <c r="E33" s="32"/>
      <c r="F33" s="12"/>
      <c r="G33" s="12"/>
      <c r="H33" s="12"/>
      <c r="I33" s="12"/>
      <c r="J33" s="24"/>
      <c r="K33" s="12"/>
      <c r="L33" s="12"/>
      <c r="M33" s="12"/>
      <c r="N33" s="12"/>
      <c r="O33" s="32"/>
      <c r="P33" s="50"/>
      <c r="Q33" s="12"/>
      <c r="R33" s="12"/>
      <c r="S33" s="124"/>
      <c r="T33" s="137"/>
      <c r="U33" s="137"/>
      <c r="V33" s="138"/>
      <c r="W33" s="137">
        <v>10</v>
      </c>
      <c r="X33" s="137">
        <v>10</v>
      </c>
      <c r="Y33" s="137"/>
      <c r="Z33" s="146">
        <v>10</v>
      </c>
      <c r="AA33" s="146"/>
      <c r="AB33" s="150">
        <f t="shared" si="4"/>
        <v>20</v>
      </c>
      <c r="AC33" s="27">
        <f t="shared" si="5"/>
        <v>0.0013503096057379514</v>
      </c>
      <c r="AD33" s="64">
        <f t="shared" si="6"/>
        <v>0.0006688671056709028</v>
      </c>
      <c r="AE33" s="39"/>
    </row>
    <row r="34" spans="1:31" ht="15.75" customHeight="1">
      <c r="A34" s="94" t="s">
        <v>34</v>
      </c>
      <c r="B34" s="97" t="s">
        <v>5</v>
      </c>
      <c r="C34" s="24"/>
      <c r="D34" s="24">
        <v>50</v>
      </c>
      <c r="E34" s="32"/>
      <c r="F34" s="12"/>
      <c r="G34" s="12"/>
      <c r="H34" s="12"/>
      <c r="I34" s="12"/>
      <c r="J34" s="24"/>
      <c r="K34" s="12"/>
      <c r="L34" s="12"/>
      <c r="M34" s="12"/>
      <c r="N34" s="12"/>
      <c r="O34" s="32"/>
      <c r="P34" s="12"/>
      <c r="Q34" s="12"/>
      <c r="R34" s="12"/>
      <c r="S34" s="124"/>
      <c r="T34" s="137"/>
      <c r="U34" s="137"/>
      <c r="V34" s="138"/>
      <c r="W34" s="137"/>
      <c r="X34" s="137"/>
      <c r="Y34" s="137"/>
      <c r="Z34" s="146"/>
      <c r="AA34" s="146"/>
      <c r="AB34" s="150">
        <f t="shared" si="4"/>
        <v>0</v>
      </c>
      <c r="AC34" s="27">
        <f t="shared" si="5"/>
        <v>0</v>
      </c>
      <c r="AD34" s="64">
        <f t="shared" si="6"/>
        <v>0</v>
      </c>
      <c r="AE34" s="39"/>
    </row>
    <row r="35" spans="1:31" ht="15.75" customHeight="1">
      <c r="A35" s="94"/>
      <c r="B35" s="147" t="s">
        <v>83</v>
      </c>
      <c r="C35" s="24"/>
      <c r="D35" s="24"/>
      <c r="E35" s="32"/>
      <c r="F35" s="12"/>
      <c r="G35" s="12"/>
      <c r="H35" s="12"/>
      <c r="I35" s="12"/>
      <c r="J35" s="24"/>
      <c r="K35" s="12"/>
      <c r="L35" s="12"/>
      <c r="M35" s="12"/>
      <c r="N35" s="12"/>
      <c r="O35" s="32"/>
      <c r="P35" s="12"/>
      <c r="Q35" s="12"/>
      <c r="R35" s="12"/>
      <c r="S35" s="124"/>
      <c r="T35" s="137"/>
      <c r="U35" s="137"/>
      <c r="V35" s="138"/>
      <c r="W35" s="137"/>
      <c r="X35" s="137"/>
      <c r="Y35" s="137"/>
      <c r="Z35" s="146">
        <v>10</v>
      </c>
      <c r="AA35" s="146"/>
      <c r="AB35" s="150">
        <f t="shared" si="4"/>
        <v>0</v>
      </c>
      <c r="AC35" s="27">
        <f t="shared" si="5"/>
        <v>0</v>
      </c>
      <c r="AD35" s="64">
        <f t="shared" si="6"/>
        <v>0</v>
      </c>
      <c r="AE35" s="39"/>
    </row>
    <row r="36" spans="1:31" ht="15.75" customHeight="1" thickBot="1">
      <c r="A36" s="94"/>
      <c r="B36" s="97" t="s">
        <v>87</v>
      </c>
      <c r="C36" s="24"/>
      <c r="D36" s="24" t="s">
        <v>88</v>
      </c>
      <c r="E36" s="32"/>
      <c r="F36" s="12"/>
      <c r="G36" s="12"/>
      <c r="H36" s="12"/>
      <c r="I36" s="12"/>
      <c r="J36" s="24"/>
      <c r="K36" s="12"/>
      <c r="L36" s="12"/>
      <c r="M36" s="12"/>
      <c r="N36" s="12"/>
      <c r="O36" s="32"/>
      <c r="P36" s="50"/>
      <c r="Q36" s="12"/>
      <c r="R36" s="12"/>
      <c r="S36" s="124"/>
      <c r="T36" s="137"/>
      <c r="U36" s="137"/>
      <c r="V36" s="138"/>
      <c r="W36" s="137">
        <v>30</v>
      </c>
      <c r="X36" s="137"/>
      <c r="Y36" s="137"/>
      <c r="Z36" s="146"/>
      <c r="AA36" s="146"/>
      <c r="AB36" s="150">
        <f t="shared" si="4"/>
        <v>30</v>
      </c>
      <c r="AC36" s="27">
        <f t="shared" si="5"/>
        <v>0.002025464408606927</v>
      </c>
      <c r="AD36" s="64">
        <f t="shared" si="6"/>
        <v>0.0010033006585063542</v>
      </c>
      <c r="AE36" s="39"/>
    </row>
    <row r="37" spans="1:31" ht="15.75" customHeight="1" thickBot="1">
      <c r="A37" s="95" t="s">
        <v>42</v>
      </c>
      <c r="B37" s="98" t="s">
        <v>59</v>
      </c>
      <c r="C37" s="99"/>
      <c r="D37" s="20">
        <f>SUM(D7:D36)</f>
        <v>125</v>
      </c>
      <c r="E37" s="48"/>
      <c r="F37" s="21"/>
      <c r="G37" s="21"/>
      <c r="H37" s="21"/>
      <c r="I37" s="21">
        <f aca="true" t="shared" si="9" ref="I37:AA37">SUM(I7:I36)</f>
        <v>280</v>
      </c>
      <c r="J37" s="20">
        <f t="shared" si="9"/>
        <v>652.5</v>
      </c>
      <c r="K37" s="21">
        <f t="shared" si="9"/>
        <v>550.5</v>
      </c>
      <c r="L37" s="21">
        <f t="shared" si="9"/>
        <v>530</v>
      </c>
      <c r="M37" s="21">
        <f t="shared" si="9"/>
        <v>570.5</v>
      </c>
      <c r="N37" s="21">
        <f t="shared" si="9"/>
        <v>702.5</v>
      </c>
      <c r="O37" s="48">
        <f t="shared" si="9"/>
        <v>650</v>
      </c>
      <c r="P37" s="49">
        <f t="shared" si="9"/>
        <v>692.6</v>
      </c>
      <c r="Q37" s="21">
        <f t="shared" si="9"/>
        <v>471</v>
      </c>
      <c r="R37" s="21">
        <f t="shared" si="9"/>
        <v>442</v>
      </c>
      <c r="S37" s="48">
        <f t="shared" si="9"/>
        <v>300</v>
      </c>
      <c r="T37" s="48">
        <f t="shared" si="9"/>
        <v>356</v>
      </c>
      <c r="U37" s="48">
        <f t="shared" si="9"/>
        <v>623.3530000000001</v>
      </c>
      <c r="V37" s="48">
        <f t="shared" si="9"/>
        <v>609.239</v>
      </c>
      <c r="W37" s="48">
        <f t="shared" si="9"/>
        <v>896.4279999999999</v>
      </c>
      <c r="X37" s="48">
        <f t="shared" si="9"/>
        <v>684.33</v>
      </c>
      <c r="Y37" s="48">
        <f t="shared" si="9"/>
        <v>616.077</v>
      </c>
      <c r="Z37" s="48">
        <f t="shared" si="9"/>
        <v>80</v>
      </c>
      <c r="AA37" s="48">
        <f t="shared" si="9"/>
        <v>45</v>
      </c>
      <c r="AB37" s="149">
        <f>SUM(J37:Y37)</f>
        <v>9347.027</v>
      </c>
      <c r="AC37" s="46">
        <f t="shared" si="5"/>
        <v>0.6310690171595994</v>
      </c>
      <c r="AD37" s="126">
        <f t="shared" si="6"/>
        <v>0.3125959448058891</v>
      </c>
      <c r="AE37" s="39"/>
    </row>
    <row r="38" spans="1:31" ht="15.75" customHeight="1" thickBot="1">
      <c r="A38" s="95" t="s">
        <v>43</v>
      </c>
      <c r="B38" s="100" t="s">
        <v>13</v>
      </c>
      <c r="C38" s="22"/>
      <c r="D38" s="22"/>
      <c r="E38" s="114"/>
      <c r="F38" s="7"/>
      <c r="G38" s="7"/>
      <c r="H38" s="7"/>
      <c r="I38" s="7"/>
      <c r="J38" s="45">
        <f aca="true" t="shared" si="10" ref="J38:Q38">J37/J44</f>
        <v>0.4217840982546865</v>
      </c>
      <c r="K38" s="46">
        <f t="shared" si="10"/>
        <v>0.4595158597662771</v>
      </c>
      <c r="L38" s="46">
        <f t="shared" si="10"/>
        <v>0.5</v>
      </c>
      <c r="M38" s="46">
        <f t="shared" si="10"/>
        <v>0.3219525959367946</v>
      </c>
      <c r="N38" s="46">
        <f t="shared" si="10"/>
        <v>0.3598872950819672</v>
      </c>
      <c r="O38" s="53">
        <f t="shared" si="10"/>
        <v>0.23602033405954975</v>
      </c>
      <c r="P38" s="52">
        <f t="shared" si="10"/>
        <v>0.2924831081081081</v>
      </c>
      <c r="Q38" s="46">
        <f t="shared" si="10"/>
        <v>0.1843444227005871</v>
      </c>
      <c r="R38" s="46">
        <f>R37/R44</f>
        <v>0.1738229004199278</v>
      </c>
      <c r="S38" s="53">
        <f>S37/S44</f>
        <v>0.10548523206751055</v>
      </c>
      <c r="T38" s="53">
        <f>T37/T44</f>
        <v>0.14110186286167262</v>
      </c>
      <c r="U38" s="53">
        <f>U37/U44</f>
        <v>0.33880771348424843</v>
      </c>
      <c r="V38" s="53">
        <f>V37/V44</f>
        <v>0.5018339820020181</v>
      </c>
      <c r="W38" s="53">
        <f>W37/W44</f>
        <v>0.6846918410104159</v>
      </c>
      <c r="X38" s="53">
        <f>X37/X44</f>
        <v>0.5860269151227366</v>
      </c>
      <c r="Y38" s="53">
        <f>Y37/Y44</f>
        <v>0.4910419947841279</v>
      </c>
      <c r="Z38" s="53">
        <f>Z37/Z44</f>
        <v>0.05359527128921415</v>
      </c>
      <c r="AA38" s="25" t="e">
        <f>AA37/AA44</f>
        <v>#DIV/0!</v>
      </c>
      <c r="AB38" s="41"/>
      <c r="AC38" s="109"/>
      <c r="AD38" s="110"/>
      <c r="AE38" s="39"/>
    </row>
    <row r="39" spans="1:31" ht="15.75" customHeight="1">
      <c r="A39" s="95" t="s">
        <v>44</v>
      </c>
      <c r="B39" s="33" t="s">
        <v>61</v>
      </c>
      <c r="C39" s="101"/>
      <c r="D39" s="29"/>
      <c r="E39" s="141"/>
      <c r="F39" s="37">
        <v>816</v>
      </c>
      <c r="G39" s="37">
        <v>897</v>
      </c>
      <c r="H39" s="37">
        <v>1330</v>
      </c>
      <c r="I39" s="38">
        <v>937</v>
      </c>
      <c r="J39" s="37">
        <v>1186</v>
      </c>
      <c r="K39" s="37">
        <v>872</v>
      </c>
      <c r="L39" s="55">
        <v>440</v>
      </c>
      <c r="M39" s="37">
        <v>830</v>
      </c>
      <c r="N39" s="37">
        <v>797</v>
      </c>
      <c r="O39" s="56">
        <v>1261</v>
      </c>
      <c r="P39" s="111">
        <f>843-88</f>
        <v>755</v>
      </c>
      <c r="Q39" s="37">
        <v>593</v>
      </c>
      <c r="R39" s="37">
        <v>667.768</v>
      </c>
      <c r="S39" s="132">
        <v>693</v>
      </c>
      <c r="T39" s="132">
        <v>799</v>
      </c>
      <c r="U39" s="132">
        <v>1186</v>
      </c>
      <c r="V39" s="132">
        <v>1156.941</v>
      </c>
      <c r="W39" s="132">
        <v>1249.325</v>
      </c>
      <c r="X39" s="132">
        <v>1128.304</v>
      </c>
      <c r="Y39" s="132">
        <v>1197.08</v>
      </c>
      <c r="Z39" s="132">
        <v>1432.187</v>
      </c>
      <c r="AA39" s="132"/>
      <c r="AB39" s="39">
        <f>SUM(J39:Y39)</f>
        <v>14811.418000000001</v>
      </c>
      <c r="AC39" s="27">
        <f>AB39/AB$39</f>
        <v>1</v>
      </c>
      <c r="AD39" s="64">
        <f>AB39/AB$44</f>
        <v>0.4953435144270956</v>
      </c>
      <c r="AE39" s="39"/>
    </row>
    <row r="40" spans="1:31" ht="15.75" customHeight="1">
      <c r="A40" s="95" t="s">
        <v>45</v>
      </c>
      <c r="B40" s="34" t="s">
        <v>62</v>
      </c>
      <c r="C40" s="102"/>
      <c r="D40" s="103"/>
      <c r="E40" s="123"/>
      <c r="F40" s="39"/>
      <c r="G40" s="39"/>
      <c r="H40" s="39"/>
      <c r="I40" s="40">
        <f>I39-I37</f>
        <v>657</v>
      </c>
      <c r="J40" s="39">
        <f>J39-J37</f>
        <v>533.5</v>
      </c>
      <c r="K40" s="39">
        <f aca="true" t="shared" si="11" ref="K40:S40">K39-K37</f>
        <v>321.5</v>
      </c>
      <c r="L40" s="81">
        <f t="shared" si="11"/>
        <v>-90</v>
      </c>
      <c r="M40" s="39">
        <f t="shared" si="11"/>
        <v>259.5</v>
      </c>
      <c r="N40" s="39">
        <f t="shared" si="11"/>
        <v>94.5</v>
      </c>
      <c r="O40" s="39">
        <f t="shared" si="11"/>
        <v>611</v>
      </c>
      <c r="P40" s="78">
        <f t="shared" si="11"/>
        <v>62.39999999999998</v>
      </c>
      <c r="Q40" s="39">
        <f t="shared" si="11"/>
        <v>122</v>
      </c>
      <c r="R40" s="39">
        <f t="shared" si="11"/>
        <v>225.76800000000003</v>
      </c>
      <c r="S40" s="16">
        <f t="shared" si="11"/>
        <v>393</v>
      </c>
      <c r="T40" s="16">
        <f>T39-T37</f>
        <v>443</v>
      </c>
      <c r="U40" s="16">
        <f>U39-U37</f>
        <v>562.6469999999999</v>
      </c>
      <c r="V40" s="16">
        <f>V39-V37</f>
        <v>547.702</v>
      </c>
      <c r="W40" s="16">
        <f>W39-W37</f>
        <v>352.89700000000016</v>
      </c>
      <c r="X40" s="16">
        <f>X39-X37</f>
        <v>443.97400000000005</v>
      </c>
      <c r="Y40" s="16">
        <f>Y39-Y37</f>
        <v>581.0029999999999</v>
      </c>
      <c r="Z40" s="16">
        <f>Z39-Z37</f>
        <v>1352.187</v>
      </c>
      <c r="AA40" s="16">
        <f>AA39-AA37</f>
        <v>-45</v>
      </c>
      <c r="AB40" s="12"/>
      <c r="AC40" s="27"/>
      <c r="AD40" s="64"/>
      <c r="AE40" s="39"/>
    </row>
    <row r="41" spans="1:31" ht="15.75" customHeight="1">
      <c r="A41" s="95" t="s">
        <v>46</v>
      </c>
      <c r="B41" s="34" t="s">
        <v>14</v>
      </c>
      <c r="C41" s="104"/>
      <c r="D41" s="103"/>
      <c r="E41" s="123"/>
      <c r="F41" s="39">
        <v>25</v>
      </c>
      <c r="G41" s="39">
        <v>15</v>
      </c>
      <c r="H41" s="39">
        <v>22</v>
      </c>
      <c r="I41" s="40">
        <v>11</v>
      </c>
      <c r="J41" s="39">
        <v>25</v>
      </c>
      <c r="K41" s="39">
        <v>30</v>
      </c>
      <c r="L41" s="54">
        <v>441</v>
      </c>
      <c r="M41" s="39">
        <v>483</v>
      </c>
      <c r="N41" s="39">
        <v>1174</v>
      </c>
      <c r="O41" s="16">
        <v>1432</v>
      </c>
      <c r="P41" s="78">
        <v>1477</v>
      </c>
      <c r="Q41" s="39">
        <v>1838</v>
      </c>
      <c r="R41" s="39">
        <v>1813.614</v>
      </c>
      <c r="S41" s="132">
        <v>2091</v>
      </c>
      <c r="T41" s="132">
        <v>1690</v>
      </c>
      <c r="U41" s="132">
        <v>604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/>
      <c r="AB41" s="39">
        <f>SUM(J41:Y41)</f>
        <v>13098.614</v>
      </c>
      <c r="AC41" s="27"/>
      <c r="AD41" s="64">
        <f>AB41/AB$44</f>
        <v>0.4380616017240183</v>
      </c>
      <c r="AE41" s="3"/>
    </row>
    <row r="42" spans="1:31" ht="15.75" customHeight="1">
      <c r="A42" s="95" t="s">
        <v>47</v>
      </c>
      <c r="B42" s="34" t="s">
        <v>55</v>
      </c>
      <c r="C42" s="105"/>
      <c r="D42" s="103"/>
      <c r="E42" s="123"/>
      <c r="F42" s="39"/>
      <c r="G42" s="39"/>
      <c r="H42" s="39"/>
      <c r="I42" s="40"/>
      <c r="J42" s="39">
        <v>132</v>
      </c>
      <c r="K42" s="39">
        <v>119</v>
      </c>
      <c r="L42" s="39">
        <v>111</v>
      </c>
      <c r="M42" s="39">
        <v>109</v>
      </c>
      <c r="N42" s="39">
        <v>95</v>
      </c>
      <c r="O42" s="16">
        <v>93</v>
      </c>
      <c r="P42" s="112">
        <v>88</v>
      </c>
      <c r="Q42" s="83">
        <v>79</v>
      </c>
      <c r="R42" s="106">
        <v>76.241</v>
      </c>
      <c r="S42" s="132">
        <v>90</v>
      </c>
      <c r="T42" s="132">
        <v>61</v>
      </c>
      <c r="U42" s="132">
        <v>98.247</v>
      </c>
      <c r="V42" s="132">
        <v>117.512</v>
      </c>
      <c r="W42" s="132">
        <v>107.005</v>
      </c>
      <c r="X42" s="132">
        <v>120.948</v>
      </c>
      <c r="Y42" s="132">
        <v>133.805</v>
      </c>
      <c r="Z42" s="132">
        <v>120.39</v>
      </c>
      <c r="AA42" s="132"/>
      <c r="AB42" s="39">
        <f>SUM(J42:Y42)</f>
        <v>1630.7580000000003</v>
      </c>
      <c r="AC42" s="27"/>
      <c r="AD42" s="64">
        <f>AB42/AB$44</f>
        <v>0.05453801917548352</v>
      </c>
      <c r="AE42" s="3"/>
    </row>
    <row r="43" spans="1:31" ht="15.75" customHeight="1">
      <c r="A43" s="95"/>
      <c r="B43" s="34" t="s">
        <v>92</v>
      </c>
      <c r="C43" s="105"/>
      <c r="D43" s="103"/>
      <c r="E43" s="123"/>
      <c r="F43" s="39"/>
      <c r="G43" s="39"/>
      <c r="H43" s="39"/>
      <c r="I43" s="40"/>
      <c r="J43" s="39"/>
      <c r="K43" s="39"/>
      <c r="L43" s="39"/>
      <c r="M43" s="39"/>
      <c r="N43" s="39"/>
      <c r="O43" s="16"/>
      <c r="P43" s="112"/>
      <c r="Q43" s="83"/>
      <c r="R43" s="106"/>
      <c r="S43" s="132"/>
      <c r="T43" s="132"/>
      <c r="U43" s="132"/>
      <c r="V43" s="115"/>
      <c r="W43" s="132"/>
      <c r="X43" s="132"/>
      <c r="Y43" s="132">
        <v>2591</v>
      </c>
      <c r="Z43" s="132">
        <v>2778</v>
      </c>
      <c r="AA43" s="132"/>
      <c r="AB43" s="39"/>
      <c r="AC43" s="27"/>
      <c r="AD43" s="64"/>
      <c r="AE43" s="3"/>
    </row>
    <row r="44" spans="1:30" ht="15.75" customHeight="1">
      <c r="A44" s="95" t="s">
        <v>48</v>
      </c>
      <c r="B44" s="34" t="s">
        <v>19</v>
      </c>
      <c r="C44" s="23"/>
      <c r="D44" s="5"/>
      <c r="E44" s="123"/>
      <c r="F44" s="39">
        <v>977</v>
      </c>
      <c r="G44" s="39">
        <v>1082</v>
      </c>
      <c r="H44" s="39">
        <v>1562</v>
      </c>
      <c r="I44" s="40">
        <v>1181</v>
      </c>
      <c r="J44" s="39">
        <v>1547</v>
      </c>
      <c r="K44" s="54">
        <v>1198</v>
      </c>
      <c r="L44" s="54">
        <v>1060</v>
      </c>
      <c r="M44" s="54">
        <v>1772</v>
      </c>
      <c r="N44" s="54">
        <v>1952</v>
      </c>
      <c r="O44" s="16">
        <v>2754</v>
      </c>
      <c r="P44" s="78">
        <v>2368</v>
      </c>
      <c r="Q44" s="39">
        <v>2555</v>
      </c>
      <c r="R44" s="39">
        <v>2542.818</v>
      </c>
      <c r="S44" s="132">
        <v>2844</v>
      </c>
      <c r="T44" s="132">
        <v>2523</v>
      </c>
      <c r="U44" s="132">
        <v>1839.843</v>
      </c>
      <c r="V44" s="133">
        <v>1214.025</v>
      </c>
      <c r="W44" s="132">
        <v>1309.243</v>
      </c>
      <c r="X44" s="132">
        <v>1167.745</v>
      </c>
      <c r="Y44" s="132">
        <v>1254.632</v>
      </c>
      <c r="Z44" s="132">
        <v>1492.669</v>
      </c>
      <c r="AA44" s="132"/>
      <c r="AB44" s="39">
        <f>SUM(J44:Y44)</f>
        <v>29901.306</v>
      </c>
      <c r="AC44" s="27"/>
      <c r="AD44" s="64">
        <f>AB44/AB$44</f>
        <v>1</v>
      </c>
    </row>
    <row r="45" spans="1:30" ht="15.75" customHeight="1">
      <c r="A45" s="95" t="s">
        <v>49</v>
      </c>
      <c r="B45" s="34" t="s">
        <v>54</v>
      </c>
      <c r="C45" s="23"/>
      <c r="D45" s="5"/>
      <c r="E45" s="123"/>
      <c r="F45" s="39"/>
      <c r="G45" s="39"/>
      <c r="H45" s="39"/>
      <c r="I45" s="40"/>
      <c r="J45" s="39">
        <f>J44-J39-J41-J42</f>
        <v>204</v>
      </c>
      <c r="K45" s="39">
        <f aca="true" t="shared" si="12" ref="K45:S45">K44-K39-K41-K42</f>
        <v>177</v>
      </c>
      <c r="L45" s="39">
        <f t="shared" si="12"/>
        <v>68</v>
      </c>
      <c r="M45" s="39">
        <f t="shared" si="12"/>
        <v>350</v>
      </c>
      <c r="N45" s="81">
        <f t="shared" si="12"/>
        <v>-114</v>
      </c>
      <c r="O45" s="81">
        <f t="shared" si="12"/>
        <v>-32</v>
      </c>
      <c r="P45" s="113">
        <f t="shared" si="12"/>
        <v>48</v>
      </c>
      <c r="Q45" s="82">
        <f t="shared" si="12"/>
        <v>45</v>
      </c>
      <c r="R45" s="82">
        <f t="shared" si="12"/>
        <v>-14.80499999999985</v>
      </c>
      <c r="S45" s="133">
        <f t="shared" si="12"/>
        <v>-30</v>
      </c>
      <c r="T45" s="133">
        <f>T44-T39-T41-T42</f>
        <v>-27</v>
      </c>
      <c r="U45" s="133">
        <f>U44-U39-U41-U42</f>
        <v>-48.403999999999925</v>
      </c>
      <c r="V45" s="133">
        <f>V44-V39-V41-V42</f>
        <v>-60.42799999999994</v>
      </c>
      <c r="W45" s="133">
        <f>W44-W39-W41-W42</f>
        <v>-47.0870000000001</v>
      </c>
      <c r="X45" s="133">
        <f>X44-X39-X41-X42</f>
        <v>-81.50700000000019</v>
      </c>
      <c r="Y45" s="133">
        <f>Y44-Y39-Y41-Y42</f>
        <v>-76.25299999999987</v>
      </c>
      <c r="Z45" s="133">
        <f>Z44-Z39-Z41-Z42</f>
        <v>-59.9079999999998</v>
      </c>
      <c r="AA45" s="133">
        <f>AA44-AA39-AA41-AA42</f>
        <v>0</v>
      </c>
      <c r="AB45" s="12"/>
      <c r="AC45" s="27"/>
      <c r="AD45" s="64"/>
    </row>
    <row r="46" spans="1:30" ht="15.75" customHeight="1">
      <c r="A46" s="95" t="s">
        <v>50</v>
      </c>
      <c r="B46" s="34" t="s">
        <v>15</v>
      </c>
      <c r="C46" s="23"/>
      <c r="D46" s="5"/>
      <c r="E46" s="123"/>
      <c r="F46" s="39"/>
      <c r="G46" s="39"/>
      <c r="H46" s="39"/>
      <c r="I46" s="40"/>
      <c r="J46" s="39"/>
      <c r="K46" s="39"/>
      <c r="L46" s="39"/>
      <c r="M46" s="39"/>
      <c r="N46" s="39"/>
      <c r="O46" s="16">
        <v>647</v>
      </c>
      <c r="P46" s="91">
        <v>733</v>
      </c>
      <c r="Q46" s="39">
        <v>742</v>
      </c>
      <c r="R46" s="39">
        <v>795</v>
      </c>
      <c r="S46" s="132">
        <v>645</v>
      </c>
      <c r="T46" s="132">
        <v>665</v>
      </c>
      <c r="U46" s="132">
        <v>613.626</v>
      </c>
      <c r="V46" s="132">
        <v>635.005</v>
      </c>
      <c r="W46" s="132">
        <v>602.711</v>
      </c>
      <c r="X46" s="132">
        <v>638.995</v>
      </c>
      <c r="Y46" s="132">
        <v>723.798</v>
      </c>
      <c r="Z46" s="132">
        <v>799.913</v>
      </c>
      <c r="AA46" s="132"/>
      <c r="AB46" s="12"/>
      <c r="AC46" s="27"/>
      <c r="AD46" s="64"/>
    </row>
    <row r="47" spans="1:30" ht="15.75" customHeight="1">
      <c r="A47" s="95" t="s">
        <v>51</v>
      </c>
      <c r="B47" s="34" t="s">
        <v>16</v>
      </c>
      <c r="C47" s="23"/>
      <c r="D47" s="5"/>
      <c r="E47" s="123"/>
      <c r="F47" s="39"/>
      <c r="G47" s="39"/>
      <c r="H47" s="39"/>
      <c r="I47" s="40"/>
      <c r="J47" s="39"/>
      <c r="K47" s="39"/>
      <c r="L47" s="39"/>
      <c r="M47" s="39"/>
      <c r="N47" s="39"/>
      <c r="O47" s="16">
        <v>1718</v>
      </c>
      <c r="P47" s="91">
        <v>1813</v>
      </c>
      <c r="Q47" s="39">
        <v>1944</v>
      </c>
      <c r="R47" s="39">
        <v>1951</v>
      </c>
      <c r="S47" s="132">
        <v>2350</v>
      </c>
      <c r="T47" s="132">
        <v>1844</v>
      </c>
      <c r="U47" s="132">
        <v>1211.61</v>
      </c>
      <c r="V47" s="132">
        <v>410.457</v>
      </c>
      <c r="W47" s="132">
        <v>465.587</v>
      </c>
      <c r="X47" s="132">
        <v>343.921</v>
      </c>
      <c r="Y47" s="132">
        <v>421.221</v>
      </c>
      <c r="Z47" s="132">
        <v>545.799</v>
      </c>
      <c r="AA47" s="132"/>
      <c r="AB47" s="12"/>
      <c r="AC47" s="27"/>
      <c r="AD47" s="64"/>
    </row>
    <row r="48" spans="1:30" ht="15.75" customHeight="1">
      <c r="A48" s="95" t="s">
        <v>52</v>
      </c>
      <c r="B48" s="34" t="s">
        <v>17</v>
      </c>
      <c r="C48" s="23"/>
      <c r="D48" s="5"/>
      <c r="E48" s="123"/>
      <c r="F48" s="39"/>
      <c r="G48" s="39"/>
      <c r="H48" s="39"/>
      <c r="I48" s="40"/>
      <c r="J48" s="39">
        <v>1212</v>
      </c>
      <c r="K48" s="39">
        <v>1138</v>
      </c>
      <c r="L48" s="39">
        <v>1342</v>
      </c>
      <c r="M48" s="39">
        <v>1433</v>
      </c>
      <c r="N48" s="39">
        <v>1910</v>
      </c>
      <c r="O48" s="16">
        <v>2365</v>
      </c>
      <c r="P48" s="91">
        <v>2546</v>
      </c>
      <c r="Q48" s="39">
        <v>2686</v>
      </c>
      <c r="R48" s="39">
        <v>2745.523</v>
      </c>
      <c r="S48" s="132">
        <v>2995</v>
      </c>
      <c r="T48" s="132">
        <v>2509</v>
      </c>
      <c r="U48" s="132">
        <v>1908.797</v>
      </c>
      <c r="V48" s="132">
        <v>1206.06</v>
      </c>
      <c r="W48" s="132">
        <v>1233.371</v>
      </c>
      <c r="X48" s="132">
        <v>1095.412</v>
      </c>
      <c r="Y48" s="132">
        <v>1225.92</v>
      </c>
      <c r="Z48" s="132">
        <v>1489.883</v>
      </c>
      <c r="AA48" s="132"/>
      <c r="AB48" s="12"/>
      <c r="AC48" s="27"/>
      <c r="AD48" s="64"/>
    </row>
    <row r="49" spans="1:30" ht="15.75" customHeight="1" thickBot="1">
      <c r="A49" s="95" t="s">
        <v>53</v>
      </c>
      <c r="B49" s="57" t="s">
        <v>18</v>
      </c>
      <c r="C49" s="107"/>
      <c r="D49" s="30"/>
      <c r="E49" s="142"/>
      <c r="F49" s="41"/>
      <c r="G49" s="41"/>
      <c r="H49" s="41"/>
      <c r="I49" s="42"/>
      <c r="J49" s="41">
        <v>335</v>
      </c>
      <c r="K49" s="41">
        <v>-80</v>
      </c>
      <c r="L49" s="41">
        <v>43</v>
      </c>
      <c r="M49" s="41">
        <v>35</v>
      </c>
      <c r="N49" s="41">
        <v>233</v>
      </c>
      <c r="O49" s="31">
        <v>389</v>
      </c>
      <c r="P49" s="96">
        <v>-178</v>
      </c>
      <c r="Q49" s="41">
        <v>-132</v>
      </c>
      <c r="R49" s="41">
        <v>-203</v>
      </c>
      <c r="S49" s="134">
        <v>-151</v>
      </c>
      <c r="T49" s="134">
        <v>-15</v>
      </c>
      <c r="U49" s="134">
        <v>-68.954</v>
      </c>
      <c r="V49" s="134">
        <v>7.965</v>
      </c>
      <c r="W49" s="134">
        <v>75.872</v>
      </c>
      <c r="X49" s="134">
        <v>72.333</v>
      </c>
      <c r="Y49" s="134">
        <v>28.712</v>
      </c>
      <c r="Z49" s="134">
        <v>2.786</v>
      </c>
      <c r="AA49" s="134"/>
      <c r="AB49" s="108"/>
      <c r="AC49" s="109"/>
      <c r="AD49" s="110"/>
    </row>
  </sheetData>
  <sheetProtection/>
  <mergeCells count="2">
    <mergeCell ref="O4:P4"/>
    <mergeCell ref="F4:L4"/>
  </mergeCells>
  <printOptions/>
  <pageMargins left="0.7" right="0.7" top="0.75" bottom="0.75" header="0.3" footer="0.3"/>
  <pageSetup horizontalDpi="600" verticalDpi="600" orientation="portrait" pageOrder="overThenDown" scale="80" r:id="rId2"/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2020-02-06T21:39:47Z</dcterms:modified>
  <cp:category/>
  <cp:version/>
  <cp:contentType/>
  <cp:contentStatus/>
</cp:coreProperties>
</file>