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S-T/State Policy Network/"/>
    </mc:Choice>
  </mc:AlternateContent>
  <xr:revisionPtr revIDLastSave="0" documentId="13_ncr:1_{1CC2A3F6-BF01-0545-A290-145CC51424F5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5" r:id="rId1"/>
    <sheet name="Data" sheetId="2" r:id="rId2"/>
    <sheet name="Resources" sheetId="3" r:id="rId3"/>
  </sheets>
  <definedNames>
    <definedName name="_xlnm._FilterDatabase" localSheetId="1" hidden="1">Data!$A$1:$I$1853</definedName>
    <definedName name="_xlnm._FilterDatabase" localSheetId="2" hidden="1">Resources!$A$1:$B$3760</definedName>
  </definedNames>
  <calcPr calcId="191029"/>
  <pivotCaches>
    <pivotCache cacheId="5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n9BLRBYQwMgzT5pljADr1+dOHN5nK3lwcBtm0wwqbU="/>
    </ext>
  </extLst>
</workbook>
</file>

<file path=xl/calcChain.xml><?xml version="1.0" encoding="utf-8"?>
<calcChain xmlns="http://schemas.openxmlformats.org/spreadsheetml/2006/main">
  <c r="V243" i="5" l="1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365" i="5"/>
  <c r="V366" i="5"/>
  <c r="V367" i="5"/>
  <c r="V368" i="5"/>
  <c r="V369" i="5"/>
  <c r="V24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12" i="5"/>
  <c r="C1853" i="2" l="1"/>
  <c r="B1853" i="2"/>
  <c r="C1852" i="2"/>
  <c r="B1852" i="2"/>
  <c r="C1851" i="2"/>
  <c r="B1851" i="2"/>
  <c r="C1850" i="2"/>
  <c r="B1850" i="2"/>
  <c r="C1849" i="2"/>
  <c r="B1849" i="2"/>
  <c r="C1848" i="2"/>
  <c r="B1848" i="2"/>
  <c r="C1847" i="2"/>
  <c r="B1847" i="2"/>
  <c r="C1846" i="2"/>
  <c r="B1846" i="2"/>
  <c r="C1845" i="2"/>
  <c r="B1845" i="2"/>
  <c r="C1844" i="2"/>
  <c r="B1844" i="2"/>
  <c r="C1843" i="2"/>
  <c r="B1843" i="2"/>
  <c r="C1842" i="2"/>
  <c r="B1842" i="2"/>
  <c r="C1841" i="2"/>
  <c r="B1841" i="2"/>
  <c r="C1840" i="2"/>
  <c r="B1840" i="2"/>
  <c r="C1839" i="2"/>
  <c r="B1839" i="2"/>
  <c r="C1838" i="2"/>
  <c r="B1838" i="2"/>
  <c r="C1837" i="2"/>
  <c r="B1837" i="2"/>
  <c r="C1836" i="2"/>
  <c r="B1836" i="2"/>
  <c r="C1835" i="2"/>
  <c r="B1835" i="2"/>
  <c r="C1834" i="2"/>
  <c r="B1834" i="2"/>
  <c r="C1833" i="2"/>
  <c r="B1833" i="2"/>
  <c r="C1832" i="2"/>
  <c r="B1832" i="2"/>
  <c r="C1831" i="2"/>
  <c r="B1831" i="2"/>
  <c r="C1830" i="2"/>
  <c r="B1830" i="2"/>
  <c r="C1829" i="2"/>
  <c r="B1829" i="2"/>
  <c r="C1828" i="2"/>
  <c r="B1828" i="2"/>
  <c r="C1827" i="2"/>
  <c r="B1827" i="2"/>
  <c r="C1826" i="2"/>
  <c r="B1826" i="2"/>
  <c r="C1825" i="2"/>
  <c r="B1825" i="2"/>
  <c r="C1824" i="2"/>
  <c r="B1824" i="2"/>
  <c r="C1823" i="2"/>
  <c r="B1823" i="2"/>
  <c r="C1822" i="2"/>
  <c r="B1822" i="2"/>
  <c r="C1821" i="2"/>
  <c r="B1821" i="2"/>
  <c r="C1820" i="2"/>
  <c r="B1820" i="2"/>
  <c r="C1819" i="2"/>
  <c r="B1819" i="2"/>
  <c r="C1818" i="2"/>
  <c r="B1818" i="2"/>
  <c r="C1817" i="2"/>
  <c r="B1817" i="2"/>
  <c r="C1816" i="2"/>
  <c r="B1816" i="2"/>
  <c r="C1815" i="2"/>
  <c r="B1815" i="2"/>
  <c r="C1814" i="2"/>
  <c r="B1814" i="2"/>
  <c r="C1813" i="2"/>
  <c r="B1813" i="2"/>
  <c r="C1812" i="2"/>
  <c r="B1812" i="2"/>
  <c r="C1811" i="2"/>
  <c r="B1811" i="2"/>
  <c r="C1810" i="2"/>
  <c r="B1810" i="2"/>
  <c r="C1809" i="2"/>
  <c r="B1809" i="2"/>
  <c r="C1808" i="2"/>
  <c r="B1808" i="2"/>
  <c r="C1807" i="2"/>
  <c r="B1807" i="2"/>
  <c r="C1806" i="2"/>
  <c r="B1806" i="2"/>
  <c r="C1805" i="2"/>
  <c r="B1805" i="2"/>
  <c r="C1804" i="2"/>
  <c r="B1804" i="2"/>
  <c r="C1803" i="2"/>
  <c r="B1803" i="2"/>
  <c r="C1802" i="2"/>
  <c r="B1802" i="2"/>
  <c r="C1801" i="2"/>
  <c r="B1801" i="2"/>
  <c r="C1800" i="2"/>
  <c r="B1800" i="2"/>
  <c r="C1799" i="2"/>
  <c r="B1799" i="2"/>
  <c r="C1798" i="2"/>
  <c r="B1798" i="2"/>
  <c r="C1797" i="2"/>
  <c r="B1797" i="2"/>
  <c r="C1796" i="2"/>
  <c r="B1796" i="2"/>
  <c r="C1795" i="2"/>
  <c r="B1795" i="2"/>
  <c r="C1794" i="2"/>
  <c r="B1794" i="2"/>
  <c r="C1793" i="2"/>
  <c r="B1793" i="2"/>
  <c r="C1792" i="2"/>
  <c r="B1792" i="2"/>
  <c r="C1791" i="2"/>
  <c r="B1791" i="2"/>
  <c r="C1790" i="2"/>
  <c r="B1790" i="2"/>
  <c r="C1789" i="2"/>
  <c r="B1789" i="2"/>
  <c r="C1788" i="2"/>
  <c r="B1788" i="2"/>
  <c r="C1787" i="2"/>
  <c r="B1787" i="2"/>
  <c r="C1786" i="2"/>
  <c r="B1786" i="2"/>
  <c r="C1785" i="2"/>
  <c r="B1785" i="2"/>
  <c r="C1784" i="2"/>
  <c r="B1784" i="2"/>
  <c r="C1783" i="2"/>
  <c r="B1783" i="2"/>
  <c r="C1782" i="2"/>
  <c r="B1782" i="2"/>
  <c r="C1781" i="2"/>
  <c r="B1781" i="2"/>
  <c r="C1780" i="2"/>
  <c r="B1780" i="2"/>
  <c r="C1779" i="2"/>
  <c r="B1779" i="2"/>
  <c r="C1778" i="2"/>
  <c r="B1778" i="2"/>
  <c r="C1777" i="2"/>
  <c r="B1777" i="2"/>
  <c r="C1776" i="2"/>
  <c r="B1776" i="2"/>
  <c r="C1775" i="2"/>
  <c r="B1775" i="2"/>
  <c r="C1774" i="2"/>
  <c r="B1774" i="2"/>
  <c r="C1773" i="2"/>
  <c r="B1773" i="2"/>
  <c r="C1772" i="2"/>
  <c r="B1772" i="2"/>
  <c r="C1771" i="2"/>
  <c r="B1771" i="2"/>
  <c r="C1770" i="2"/>
  <c r="B1770" i="2"/>
  <c r="C1769" i="2"/>
  <c r="B1769" i="2"/>
  <c r="C1768" i="2"/>
  <c r="B1768" i="2"/>
  <c r="C1767" i="2"/>
  <c r="B1767" i="2"/>
  <c r="C1766" i="2"/>
  <c r="B1766" i="2"/>
  <c r="C1765" i="2"/>
  <c r="B1765" i="2"/>
  <c r="C1764" i="2"/>
  <c r="B1764" i="2"/>
  <c r="C1763" i="2"/>
  <c r="B1763" i="2"/>
  <c r="C1762" i="2"/>
  <c r="B1762" i="2"/>
  <c r="C1761" i="2"/>
  <c r="B1761" i="2"/>
  <c r="C1760" i="2"/>
  <c r="B1760" i="2"/>
  <c r="C1759" i="2"/>
  <c r="B1759" i="2"/>
  <c r="C1758" i="2"/>
  <c r="B1758" i="2"/>
  <c r="C1757" i="2"/>
  <c r="B1757" i="2"/>
  <c r="C1756" i="2"/>
  <c r="B1756" i="2"/>
  <c r="C1755" i="2"/>
  <c r="B1755" i="2"/>
  <c r="C1754" i="2"/>
  <c r="B1754" i="2"/>
  <c r="C1753" i="2"/>
  <c r="B1753" i="2"/>
  <c r="C1752" i="2"/>
  <c r="B1752" i="2"/>
  <c r="C1751" i="2"/>
  <c r="B1751" i="2"/>
  <c r="C1750" i="2"/>
  <c r="B1750" i="2"/>
  <c r="C1749" i="2"/>
  <c r="B1749" i="2"/>
  <c r="C1748" i="2"/>
  <c r="B1748" i="2"/>
  <c r="C1747" i="2"/>
  <c r="B1747" i="2"/>
  <c r="C1746" i="2"/>
  <c r="B1746" i="2"/>
  <c r="C1745" i="2"/>
  <c r="B1745" i="2"/>
  <c r="C1744" i="2"/>
  <c r="B1744" i="2"/>
  <c r="C1743" i="2"/>
  <c r="B1743" i="2"/>
  <c r="C1742" i="2"/>
  <c r="B1742" i="2"/>
  <c r="C1741" i="2"/>
  <c r="B1741" i="2"/>
  <c r="C1740" i="2"/>
  <c r="B1740" i="2"/>
  <c r="C1739" i="2"/>
  <c r="B1739" i="2"/>
  <c r="C1738" i="2"/>
  <c r="B1738" i="2"/>
  <c r="C1737" i="2"/>
  <c r="B1737" i="2"/>
  <c r="C1736" i="2"/>
  <c r="B1736" i="2"/>
  <c r="C1735" i="2"/>
  <c r="B1735" i="2"/>
  <c r="C1734" i="2"/>
  <c r="B1734" i="2"/>
  <c r="C1733" i="2"/>
  <c r="B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B1434" i="2"/>
  <c r="C1433" i="2"/>
  <c r="B1433" i="2"/>
  <c r="C1432" i="2"/>
  <c r="B1432" i="2"/>
  <c r="C1431" i="2"/>
  <c r="B1431" i="2"/>
  <c r="C1430" i="2"/>
  <c r="B1430" i="2"/>
  <c r="C1429" i="2"/>
  <c r="B1429" i="2"/>
  <c r="C1428" i="2"/>
  <c r="B1428" i="2"/>
  <c r="C1427" i="2"/>
  <c r="B1427" i="2"/>
  <c r="C1426" i="2"/>
  <c r="B1426" i="2"/>
  <c r="C1425" i="2"/>
  <c r="B1425" i="2"/>
  <c r="C1424" i="2"/>
  <c r="B1424" i="2"/>
  <c r="C1423" i="2"/>
  <c r="B1423" i="2"/>
  <c r="C1422" i="2"/>
  <c r="B1422" i="2"/>
  <c r="C1421" i="2"/>
  <c r="B1421" i="2"/>
  <c r="C1420" i="2"/>
  <c r="B1420" i="2"/>
  <c r="C1419" i="2"/>
  <c r="B1419" i="2"/>
  <c r="C1418" i="2"/>
  <c r="B1418" i="2"/>
  <c r="C1417" i="2"/>
  <c r="B1417" i="2"/>
  <c r="C1416" i="2"/>
  <c r="B1416" i="2"/>
  <c r="C1415" i="2"/>
  <c r="B1415" i="2"/>
  <c r="C1414" i="2"/>
  <c r="B1414" i="2"/>
  <c r="C1413" i="2"/>
  <c r="B1413" i="2"/>
  <c r="C1412" i="2"/>
  <c r="B1412" i="2"/>
  <c r="C1411" i="2"/>
  <c r="B1411" i="2"/>
  <c r="C1410" i="2"/>
  <c r="B1410" i="2"/>
  <c r="C1409" i="2"/>
  <c r="B1409" i="2"/>
  <c r="C1408" i="2"/>
  <c r="B1408" i="2"/>
  <c r="C1407" i="2"/>
  <c r="B1407" i="2"/>
  <c r="C1406" i="2"/>
  <c r="B1406" i="2"/>
  <c r="C1405" i="2"/>
  <c r="B1405" i="2"/>
  <c r="C1404" i="2"/>
  <c r="B1404" i="2"/>
  <c r="C1403" i="2"/>
  <c r="B1403" i="2"/>
  <c r="C1402" i="2"/>
  <c r="B1402" i="2"/>
  <c r="C1401" i="2"/>
  <c r="B1401" i="2"/>
  <c r="C1400" i="2"/>
  <c r="B1400" i="2"/>
  <c r="C1399" i="2"/>
  <c r="B1399" i="2"/>
  <c r="C1398" i="2"/>
  <c r="B1398" i="2"/>
  <c r="C1397" i="2"/>
  <c r="B1397" i="2"/>
  <c r="C1396" i="2"/>
  <c r="B1396" i="2"/>
  <c r="C1395" i="2"/>
  <c r="B1395" i="2"/>
  <c r="C1394" i="2"/>
  <c r="B1394" i="2"/>
  <c r="C1393" i="2"/>
  <c r="B1393" i="2"/>
  <c r="C1392" i="2"/>
  <c r="B1392" i="2"/>
  <c r="C1391" i="2"/>
  <c r="B1391" i="2"/>
  <c r="C1390" i="2"/>
  <c r="B1390" i="2"/>
  <c r="C1389" i="2"/>
  <c r="B1389" i="2"/>
  <c r="C1388" i="2"/>
  <c r="B1388" i="2"/>
  <c r="C1387" i="2"/>
  <c r="B1387" i="2"/>
  <c r="C1386" i="2"/>
  <c r="B1386" i="2"/>
  <c r="C1385" i="2"/>
  <c r="B1385" i="2"/>
  <c r="C1384" i="2"/>
  <c r="B1384" i="2"/>
  <c r="C1383" i="2"/>
  <c r="B1383" i="2"/>
  <c r="C1382" i="2"/>
  <c r="B1382" i="2"/>
  <c r="C1381" i="2"/>
  <c r="B1381" i="2"/>
  <c r="C1380" i="2"/>
  <c r="B1380" i="2"/>
  <c r="C1379" i="2"/>
  <c r="B1379" i="2"/>
  <c r="C1378" i="2"/>
  <c r="B1378" i="2"/>
  <c r="C1377" i="2"/>
  <c r="B1377" i="2"/>
  <c r="C1376" i="2"/>
  <c r="B1376" i="2"/>
  <c r="C1375" i="2"/>
  <c r="B1375" i="2"/>
  <c r="C1374" i="2"/>
  <c r="B1374" i="2"/>
  <c r="C1373" i="2"/>
  <c r="B1373" i="2"/>
  <c r="C1372" i="2"/>
  <c r="B1372" i="2"/>
  <c r="C1371" i="2"/>
  <c r="B1371" i="2"/>
  <c r="C1370" i="2"/>
  <c r="B1370" i="2"/>
  <c r="C1369" i="2"/>
  <c r="B1369" i="2"/>
  <c r="C1368" i="2"/>
  <c r="B1368" i="2"/>
  <c r="C1367" i="2"/>
  <c r="B1367" i="2"/>
  <c r="C1366" i="2"/>
  <c r="B1366" i="2"/>
  <c r="C1365" i="2"/>
  <c r="B1365" i="2"/>
  <c r="C1364" i="2"/>
  <c r="B1364" i="2"/>
  <c r="C1363" i="2"/>
  <c r="B1363" i="2"/>
  <c r="C1362" i="2"/>
  <c r="B1362" i="2"/>
  <c r="C1361" i="2"/>
  <c r="B1361" i="2"/>
  <c r="C1360" i="2"/>
  <c r="B1360" i="2"/>
  <c r="C1359" i="2"/>
  <c r="B1359" i="2"/>
  <c r="C1358" i="2"/>
  <c r="B1358" i="2"/>
  <c r="C1357" i="2"/>
  <c r="B1357" i="2"/>
  <c r="C1356" i="2"/>
  <c r="B1356" i="2"/>
  <c r="C1355" i="2"/>
  <c r="B1355" i="2"/>
  <c r="C1354" i="2"/>
  <c r="B1354" i="2"/>
  <c r="C1353" i="2"/>
  <c r="B1353" i="2"/>
  <c r="C1352" i="2"/>
  <c r="B1352" i="2"/>
  <c r="C1351" i="2"/>
  <c r="B1351" i="2"/>
  <c r="C1350" i="2"/>
  <c r="B1350" i="2"/>
  <c r="C1349" i="2"/>
  <c r="B1349" i="2"/>
  <c r="C1348" i="2"/>
  <c r="B1348" i="2"/>
  <c r="C1347" i="2"/>
  <c r="B1347" i="2"/>
  <c r="C1346" i="2"/>
  <c r="B1346" i="2"/>
  <c r="C1345" i="2"/>
  <c r="B1345" i="2"/>
  <c r="C1344" i="2"/>
  <c r="B1344" i="2"/>
  <c r="C1343" i="2"/>
  <c r="B1343" i="2"/>
  <c r="C1342" i="2"/>
  <c r="B1342" i="2"/>
  <c r="C1341" i="2"/>
  <c r="B1341" i="2"/>
  <c r="C1340" i="2"/>
  <c r="B1340" i="2"/>
  <c r="C1339" i="2"/>
  <c r="B1339" i="2"/>
  <c r="C1338" i="2"/>
  <c r="B1338" i="2"/>
  <c r="C1337" i="2"/>
  <c r="B1337" i="2"/>
  <c r="C1336" i="2"/>
  <c r="B1336" i="2"/>
  <c r="C1335" i="2"/>
  <c r="B1335" i="2"/>
  <c r="C1334" i="2"/>
  <c r="B1334" i="2"/>
  <c r="C1333" i="2"/>
  <c r="B1333" i="2"/>
  <c r="C1332" i="2"/>
  <c r="B1332" i="2"/>
  <c r="C1331" i="2"/>
  <c r="B1331" i="2"/>
  <c r="C1330" i="2"/>
  <c r="B1330" i="2"/>
  <c r="C1329" i="2"/>
  <c r="B1329" i="2"/>
  <c r="C1328" i="2"/>
  <c r="B1328" i="2"/>
  <c r="C1327" i="2"/>
  <c r="B1327" i="2"/>
  <c r="C1326" i="2"/>
  <c r="B1326" i="2"/>
  <c r="C1325" i="2"/>
  <c r="B1325" i="2"/>
  <c r="C1324" i="2"/>
  <c r="B1324" i="2"/>
  <c r="C1323" i="2"/>
  <c r="B1323" i="2"/>
  <c r="C1322" i="2"/>
  <c r="B1322" i="2"/>
  <c r="C1321" i="2"/>
  <c r="B1321" i="2"/>
  <c r="C1320" i="2"/>
  <c r="B1320" i="2"/>
  <c r="C1319" i="2"/>
  <c r="B1319" i="2"/>
  <c r="C1318" i="2"/>
  <c r="B1318" i="2"/>
  <c r="C1317" i="2"/>
  <c r="B1317" i="2"/>
  <c r="C1316" i="2"/>
  <c r="B1316" i="2"/>
  <c r="C1315" i="2"/>
  <c r="B1315" i="2"/>
  <c r="C1314" i="2"/>
  <c r="B1314" i="2"/>
  <c r="C1313" i="2"/>
  <c r="B1313" i="2"/>
  <c r="C1312" i="2"/>
  <c r="B1312" i="2"/>
  <c r="C1311" i="2"/>
  <c r="B1311" i="2"/>
  <c r="C1310" i="2"/>
  <c r="B1310" i="2"/>
  <c r="C1309" i="2"/>
  <c r="B1309" i="2"/>
  <c r="C1308" i="2"/>
  <c r="B1308" i="2"/>
  <c r="C1307" i="2"/>
  <c r="B1307" i="2"/>
  <c r="C1306" i="2"/>
  <c r="B1306" i="2"/>
  <c r="C1305" i="2"/>
  <c r="B1305" i="2"/>
  <c r="C1304" i="2"/>
  <c r="B1304" i="2"/>
  <c r="C1303" i="2"/>
  <c r="B1303" i="2"/>
  <c r="C1302" i="2"/>
  <c r="B1302" i="2"/>
  <c r="C1301" i="2"/>
  <c r="B1301" i="2"/>
  <c r="C1300" i="2"/>
  <c r="B1300" i="2"/>
  <c r="C1299" i="2"/>
  <c r="B1299" i="2"/>
  <c r="C1298" i="2"/>
  <c r="B1298" i="2"/>
  <c r="C1297" i="2"/>
  <c r="B1297" i="2"/>
  <c r="C1296" i="2"/>
  <c r="B1296" i="2"/>
  <c r="C1295" i="2"/>
  <c r="B1295" i="2"/>
  <c r="C1294" i="2"/>
  <c r="B1294" i="2"/>
  <c r="C1293" i="2"/>
  <c r="B1293" i="2"/>
  <c r="C1292" i="2"/>
  <c r="B1292" i="2"/>
  <c r="C1291" i="2"/>
  <c r="B1291" i="2"/>
  <c r="C1290" i="2"/>
  <c r="B1290" i="2"/>
  <c r="C1289" i="2"/>
  <c r="B1289" i="2"/>
  <c r="C1288" i="2"/>
  <c r="B1288" i="2"/>
  <c r="C1287" i="2"/>
  <c r="B1287" i="2"/>
  <c r="C1286" i="2"/>
  <c r="B1286" i="2"/>
  <c r="C1285" i="2"/>
  <c r="B1285" i="2"/>
  <c r="C1284" i="2"/>
  <c r="B1284" i="2"/>
  <c r="C1283" i="2"/>
  <c r="B1283" i="2"/>
  <c r="C1282" i="2"/>
  <c r="B1282" i="2"/>
  <c r="C1281" i="2"/>
  <c r="B1281" i="2"/>
  <c r="C1280" i="2"/>
  <c r="B1280" i="2"/>
  <c r="C1279" i="2"/>
  <c r="B1279" i="2"/>
  <c r="C1278" i="2"/>
  <c r="B1278" i="2"/>
  <c r="C1277" i="2"/>
  <c r="B1277" i="2"/>
  <c r="C1276" i="2"/>
  <c r="B1276" i="2"/>
  <c r="C1275" i="2"/>
  <c r="B1275" i="2"/>
  <c r="C1274" i="2"/>
  <c r="B1274" i="2"/>
  <c r="C1273" i="2"/>
  <c r="B1273" i="2"/>
  <c r="C1272" i="2"/>
  <c r="B1272" i="2"/>
  <c r="C1271" i="2"/>
  <c r="B1271" i="2"/>
  <c r="C1270" i="2"/>
  <c r="B1270" i="2"/>
  <c r="C1269" i="2"/>
  <c r="B1269" i="2"/>
  <c r="C1268" i="2"/>
  <c r="B1268" i="2"/>
  <c r="C1267" i="2"/>
  <c r="B1267" i="2"/>
  <c r="C1266" i="2"/>
  <c r="B1266" i="2"/>
  <c r="C1265" i="2"/>
  <c r="B1265" i="2"/>
  <c r="C1264" i="2"/>
  <c r="B1264" i="2"/>
  <c r="C1263" i="2"/>
  <c r="B1263" i="2"/>
  <c r="C1262" i="2"/>
  <c r="B1262" i="2"/>
  <c r="C1261" i="2"/>
  <c r="B1261" i="2"/>
  <c r="C1260" i="2"/>
  <c r="B1260" i="2"/>
  <c r="C1259" i="2"/>
  <c r="B1259" i="2"/>
  <c r="C1258" i="2"/>
  <c r="B1258" i="2"/>
  <c r="C1257" i="2"/>
  <c r="B1257" i="2"/>
  <c r="C1256" i="2"/>
  <c r="B1256" i="2"/>
  <c r="C1255" i="2"/>
  <c r="B1255" i="2"/>
  <c r="C1254" i="2"/>
  <c r="B1254" i="2"/>
  <c r="C1253" i="2"/>
  <c r="B1253" i="2"/>
  <c r="C1252" i="2"/>
  <c r="B1252" i="2"/>
  <c r="C1251" i="2"/>
  <c r="B1251" i="2"/>
  <c r="C1250" i="2"/>
  <c r="B1250" i="2"/>
  <c r="C1249" i="2"/>
  <c r="B1249" i="2"/>
  <c r="C1248" i="2"/>
  <c r="B1248" i="2"/>
  <c r="C1247" i="2"/>
  <c r="B1247" i="2"/>
  <c r="C1246" i="2"/>
  <c r="B1246" i="2"/>
  <c r="C1245" i="2"/>
  <c r="B1245" i="2"/>
  <c r="C1244" i="2"/>
  <c r="B1244" i="2"/>
  <c r="C1243" i="2"/>
  <c r="B1243" i="2"/>
  <c r="C1242" i="2"/>
  <c r="B1242" i="2"/>
  <c r="C1241" i="2"/>
  <c r="B1241" i="2"/>
  <c r="C1240" i="2"/>
  <c r="B1240" i="2"/>
  <c r="C1239" i="2"/>
  <c r="B1239" i="2"/>
  <c r="C1238" i="2"/>
  <c r="B1238" i="2"/>
  <c r="C1237" i="2"/>
  <c r="B1237" i="2"/>
  <c r="C1236" i="2"/>
  <c r="B1236" i="2"/>
  <c r="C1235" i="2"/>
  <c r="B1235" i="2"/>
  <c r="C1234" i="2"/>
  <c r="B1234" i="2"/>
  <c r="C1233" i="2"/>
  <c r="B1233" i="2"/>
  <c r="C1232" i="2"/>
  <c r="B1232" i="2"/>
  <c r="C1231" i="2"/>
  <c r="B1231" i="2"/>
  <c r="C1230" i="2"/>
  <c r="B1230" i="2"/>
  <c r="C1229" i="2"/>
  <c r="B1229" i="2"/>
  <c r="C1228" i="2"/>
  <c r="B1228" i="2"/>
  <c r="C1227" i="2"/>
  <c r="B1227" i="2"/>
  <c r="C1226" i="2"/>
  <c r="B1226" i="2"/>
  <c r="C1225" i="2"/>
  <c r="B1225" i="2"/>
  <c r="C1224" i="2"/>
  <c r="B1224" i="2"/>
  <c r="C1223" i="2"/>
  <c r="B1223" i="2"/>
  <c r="C1222" i="2"/>
  <c r="B1222" i="2"/>
  <c r="C1221" i="2"/>
  <c r="B1221" i="2"/>
  <c r="C1220" i="2"/>
  <c r="B1220" i="2"/>
  <c r="C1219" i="2"/>
  <c r="B1219" i="2"/>
  <c r="C1218" i="2"/>
  <c r="B1218" i="2"/>
  <c r="C1217" i="2"/>
  <c r="B1217" i="2"/>
  <c r="C1216" i="2"/>
  <c r="B1216" i="2"/>
  <c r="C1215" i="2"/>
  <c r="B1215" i="2"/>
  <c r="C1214" i="2"/>
  <c r="B1214" i="2"/>
  <c r="C1213" i="2"/>
  <c r="B1213" i="2"/>
  <c r="C1212" i="2"/>
  <c r="B1212" i="2"/>
  <c r="C1211" i="2"/>
  <c r="B1211" i="2"/>
  <c r="C1210" i="2"/>
  <c r="B1210" i="2"/>
  <c r="C1209" i="2"/>
  <c r="B1209" i="2"/>
  <c r="C1208" i="2"/>
  <c r="B1208" i="2"/>
  <c r="C1207" i="2"/>
  <c r="B1207" i="2"/>
  <c r="C1206" i="2"/>
  <c r="B1206" i="2"/>
  <c r="C1205" i="2"/>
  <c r="B1205" i="2"/>
  <c r="C1204" i="2"/>
  <c r="B1204" i="2"/>
  <c r="C1203" i="2"/>
  <c r="B1203" i="2"/>
  <c r="C1202" i="2"/>
  <c r="B1202" i="2"/>
  <c r="C1201" i="2"/>
  <c r="B1201" i="2"/>
  <c r="C1200" i="2"/>
  <c r="B1200" i="2"/>
  <c r="C1199" i="2"/>
  <c r="B1199" i="2"/>
  <c r="C1198" i="2"/>
  <c r="B1198" i="2"/>
  <c r="C1197" i="2"/>
  <c r="B1197" i="2"/>
  <c r="C1196" i="2"/>
  <c r="B1196" i="2"/>
  <c r="C1195" i="2"/>
  <c r="B1195" i="2"/>
  <c r="C1194" i="2"/>
  <c r="B1194" i="2"/>
  <c r="C1193" i="2"/>
  <c r="B1193" i="2"/>
  <c r="C1192" i="2"/>
  <c r="B1192" i="2"/>
  <c r="C1191" i="2"/>
  <c r="B1191" i="2"/>
  <c r="C1190" i="2"/>
  <c r="B1190" i="2"/>
  <c r="C1189" i="2"/>
  <c r="B1189" i="2"/>
  <c r="C1188" i="2"/>
  <c r="B1188" i="2"/>
  <c r="C1187" i="2"/>
  <c r="B1187" i="2"/>
  <c r="C1186" i="2"/>
  <c r="B1186" i="2"/>
  <c r="C1185" i="2"/>
  <c r="B1185" i="2"/>
  <c r="C1184" i="2"/>
  <c r="B1184" i="2"/>
  <c r="C1183" i="2"/>
  <c r="B1183" i="2"/>
  <c r="C1182" i="2"/>
  <c r="B1182" i="2"/>
  <c r="C1181" i="2"/>
  <c r="B1181" i="2"/>
  <c r="C1180" i="2"/>
  <c r="B1180" i="2"/>
  <c r="C1179" i="2"/>
  <c r="B1179" i="2"/>
  <c r="C1178" i="2"/>
  <c r="B1178" i="2"/>
  <c r="C1177" i="2"/>
  <c r="B1177" i="2"/>
  <c r="C1176" i="2"/>
  <c r="B1176" i="2"/>
  <c r="C1175" i="2"/>
  <c r="B1175" i="2"/>
  <c r="C1174" i="2"/>
  <c r="B1174" i="2"/>
  <c r="C1173" i="2"/>
  <c r="B1173" i="2"/>
  <c r="C1172" i="2"/>
  <c r="B1172" i="2"/>
  <c r="C1171" i="2"/>
  <c r="B1171" i="2"/>
  <c r="C1170" i="2"/>
  <c r="B1170" i="2"/>
  <c r="C1169" i="2"/>
  <c r="B1169" i="2"/>
  <c r="C1168" i="2"/>
  <c r="B1168" i="2"/>
  <c r="C1167" i="2"/>
  <c r="B1167" i="2"/>
  <c r="C1166" i="2"/>
  <c r="B1166" i="2"/>
  <c r="C1165" i="2"/>
  <c r="B1165" i="2"/>
  <c r="C1164" i="2"/>
  <c r="B1164" i="2"/>
  <c r="C1163" i="2"/>
  <c r="B1163" i="2"/>
  <c r="C1162" i="2"/>
  <c r="B1162" i="2"/>
  <c r="C1161" i="2"/>
  <c r="B1161" i="2"/>
  <c r="C1160" i="2"/>
  <c r="B1160" i="2"/>
  <c r="C1159" i="2"/>
  <c r="B1159" i="2"/>
  <c r="C1158" i="2"/>
  <c r="B1158" i="2"/>
  <c r="C1157" i="2"/>
  <c r="B1157" i="2"/>
  <c r="C1156" i="2"/>
  <c r="B1156" i="2"/>
  <c r="C1155" i="2"/>
  <c r="B1155" i="2"/>
  <c r="C1154" i="2"/>
  <c r="B1154" i="2"/>
  <c r="C1153" i="2"/>
  <c r="B1153" i="2"/>
  <c r="C1152" i="2"/>
  <c r="B1152" i="2"/>
  <c r="C1151" i="2"/>
  <c r="B1151" i="2"/>
  <c r="C1150" i="2"/>
  <c r="B1150" i="2"/>
  <c r="C1149" i="2"/>
  <c r="B1149" i="2"/>
  <c r="C1148" i="2"/>
  <c r="B1148" i="2"/>
  <c r="C1147" i="2"/>
  <c r="B1147" i="2"/>
  <c r="C1146" i="2"/>
  <c r="B1146" i="2"/>
  <c r="C1145" i="2"/>
  <c r="B1145" i="2"/>
  <c r="C1144" i="2"/>
  <c r="B1144" i="2"/>
  <c r="C1143" i="2"/>
  <c r="B1143" i="2"/>
  <c r="C1142" i="2"/>
  <c r="B1142" i="2"/>
  <c r="C1141" i="2"/>
  <c r="B1141" i="2"/>
  <c r="C1140" i="2"/>
  <c r="B1140" i="2"/>
  <c r="C1139" i="2"/>
  <c r="B1139" i="2"/>
  <c r="C1138" i="2"/>
  <c r="B1138" i="2"/>
  <c r="C1137" i="2"/>
  <c r="B1137" i="2"/>
  <c r="C1136" i="2"/>
  <c r="B1136" i="2"/>
  <c r="C1135" i="2"/>
  <c r="B1135" i="2"/>
  <c r="C1134" i="2"/>
  <c r="B1134" i="2"/>
  <c r="C1133" i="2"/>
  <c r="B1133" i="2"/>
  <c r="C1132" i="2"/>
  <c r="B1132" i="2"/>
  <c r="C1131" i="2"/>
  <c r="B1131" i="2"/>
  <c r="C1130" i="2"/>
  <c r="B1130" i="2"/>
  <c r="C1129" i="2"/>
  <c r="B1129" i="2"/>
  <c r="C1128" i="2"/>
  <c r="B1128" i="2"/>
  <c r="C1127" i="2"/>
  <c r="B1127" i="2"/>
  <c r="C1126" i="2"/>
  <c r="B1126" i="2"/>
  <c r="C1125" i="2"/>
  <c r="B1125" i="2"/>
  <c r="C1124" i="2"/>
  <c r="B1124" i="2"/>
  <c r="C1123" i="2"/>
  <c r="B1123" i="2"/>
  <c r="C1122" i="2"/>
  <c r="B1122" i="2"/>
  <c r="C1121" i="2"/>
  <c r="B1121" i="2"/>
  <c r="C1120" i="2"/>
  <c r="B1120" i="2"/>
  <c r="C1119" i="2"/>
  <c r="B1119" i="2"/>
  <c r="C1118" i="2"/>
  <c r="B1118" i="2"/>
  <c r="C1117" i="2"/>
  <c r="B1117" i="2"/>
  <c r="C1116" i="2"/>
  <c r="B1116" i="2"/>
  <c r="C1115" i="2"/>
  <c r="B1115" i="2"/>
  <c r="C1114" i="2"/>
  <c r="B1114" i="2"/>
  <c r="C1113" i="2"/>
  <c r="B1113" i="2"/>
  <c r="C1112" i="2"/>
  <c r="B1112" i="2"/>
  <c r="C1111" i="2"/>
  <c r="B1111" i="2"/>
  <c r="C1110" i="2"/>
  <c r="B1110" i="2"/>
  <c r="C1109" i="2"/>
  <c r="B1109" i="2"/>
  <c r="C1108" i="2"/>
  <c r="B1108" i="2"/>
  <c r="C1107" i="2"/>
  <c r="B1107" i="2"/>
  <c r="C1106" i="2"/>
  <c r="B1106" i="2"/>
  <c r="C1105" i="2"/>
  <c r="B1105" i="2"/>
  <c r="C1104" i="2"/>
  <c r="B1104" i="2"/>
  <c r="C1103" i="2"/>
  <c r="B1103" i="2"/>
  <c r="C1102" i="2"/>
  <c r="B1102" i="2"/>
  <c r="C1101" i="2"/>
  <c r="B1101" i="2"/>
  <c r="C1100" i="2"/>
  <c r="B1100" i="2"/>
  <c r="C1099" i="2"/>
  <c r="B1099" i="2"/>
  <c r="C1098" i="2"/>
  <c r="B1098" i="2"/>
  <c r="C1097" i="2"/>
  <c r="B1097" i="2"/>
  <c r="C1096" i="2"/>
  <c r="B1096" i="2"/>
  <c r="C1095" i="2"/>
  <c r="B1095" i="2"/>
  <c r="C1094" i="2"/>
  <c r="B1094" i="2"/>
  <c r="C1093" i="2"/>
  <c r="B1093" i="2"/>
  <c r="C1092" i="2"/>
  <c r="B1092" i="2"/>
  <c r="C1091" i="2"/>
  <c r="B1091" i="2"/>
  <c r="C1090" i="2"/>
  <c r="B1090" i="2"/>
  <c r="C1089" i="2"/>
  <c r="B1089" i="2"/>
  <c r="C1088" i="2"/>
  <c r="B1088" i="2"/>
  <c r="C1087" i="2"/>
  <c r="B1087" i="2"/>
  <c r="C1086" i="2"/>
  <c r="B1086" i="2"/>
  <c r="C1085" i="2"/>
  <c r="B1085" i="2"/>
  <c r="C1084" i="2"/>
  <c r="B1084" i="2"/>
  <c r="C1083" i="2"/>
  <c r="B1083" i="2"/>
  <c r="C1082" i="2"/>
  <c r="B1082" i="2"/>
  <c r="C1081" i="2"/>
  <c r="B1081" i="2"/>
  <c r="C1080" i="2"/>
  <c r="B1080" i="2"/>
  <c r="C1079" i="2"/>
  <c r="B1079" i="2"/>
  <c r="C1078" i="2"/>
  <c r="B1078" i="2"/>
  <c r="C1077" i="2"/>
  <c r="B1077" i="2"/>
  <c r="C1076" i="2"/>
  <c r="B1076" i="2"/>
  <c r="C1075" i="2"/>
  <c r="B1075" i="2"/>
  <c r="C1074" i="2"/>
  <c r="B1074" i="2"/>
  <c r="C1073" i="2"/>
  <c r="B1073" i="2"/>
  <c r="C1072" i="2"/>
  <c r="B1072" i="2"/>
  <c r="C1071" i="2"/>
  <c r="B1071" i="2"/>
  <c r="C1070" i="2"/>
  <c r="B1070" i="2"/>
  <c r="C1069" i="2"/>
  <c r="B1069" i="2"/>
  <c r="C1068" i="2"/>
  <c r="B1068" i="2"/>
  <c r="C1067" i="2"/>
  <c r="B1067" i="2"/>
  <c r="C1066" i="2"/>
  <c r="B1066" i="2"/>
  <c r="C1065" i="2"/>
  <c r="B1065" i="2"/>
  <c r="C1064" i="2"/>
  <c r="B1064" i="2"/>
  <c r="C1063" i="2"/>
  <c r="B1063" i="2"/>
  <c r="C1062" i="2"/>
  <c r="B1062" i="2"/>
  <c r="C1061" i="2"/>
  <c r="B1061" i="2"/>
  <c r="C1060" i="2"/>
  <c r="B1060" i="2"/>
  <c r="C1059" i="2"/>
  <c r="B1059" i="2"/>
  <c r="C1058" i="2"/>
  <c r="B1058" i="2"/>
  <c r="C1057" i="2"/>
  <c r="B1057" i="2"/>
  <c r="C1056" i="2"/>
  <c r="B1056" i="2"/>
  <c r="C1055" i="2"/>
  <c r="B1055" i="2"/>
  <c r="C1054" i="2"/>
  <c r="B1054" i="2"/>
  <c r="C1053" i="2"/>
  <c r="B1053" i="2"/>
  <c r="C1052" i="2"/>
  <c r="B1052" i="2"/>
  <c r="C1051" i="2"/>
  <c r="B1051" i="2"/>
  <c r="C1050" i="2"/>
  <c r="B1050" i="2"/>
  <c r="C1049" i="2"/>
  <c r="B1049" i="2"/>
  <c r="C1048" i="2"/>
  <c r="B1048" i="2"/>
  <c r="C1047" i="2"/>
  <c r="B1047" i="2"/>
  <c r="C1046" i="2"/>
  <c r="B1046" i="2"/>
  <c r="C1045" i="2"/>
  <c r="B1045" i="2"/>
  <c r="C1044" i="2"/>
  <c r="B1044" i="2"/>
  <c r="C1043" i="2"/>
  <c r="B1043" i="2"/>
  <c r="C1042" i="2"/>
  <c r="B1042" i="2"/>
  <c r="C1041" i="2"/>
  <c r="B1041" i="2"/>
  <c r="C1040" i="2"/>
  <c r="B1040" i="2"/>
  <c r="C1039" i="2"/>
  <c r="B1039" i="2"/>
  <c r="C1038" i="2"/>
  <c r="B1038" i="2"/>
  <c r="C1037" i="2"/>
  <c r="B1037" i="2"/>
  <c r="C1036" i="2"/>
  <c r="B1036" i="2"/>
  <c r="C1035" i="2"/>
  <c r="B1035" i="2"/>
  <c r="C1034" i="2"/>
  <c r="B1034" i="2"/>
  <c r="C1033" i="2"/>
  <c r="B1033" i="2"/>
  <c r="C1032" i="2"/>
  <c r="B1032" i="2"/>
  <c r="C1031" i="2"/>
  <c r="B1031" i="2"/>
  <c r="C1030" i="2"/>
  <c r="B1030" i="2"/>
  <c r="C1029" i="2"/>
  <c r="B1029" i="2"/>
  <c r="C1028" i="2"/>
  <c r="B1028" i="2"/>
  <c r="C1027" i="2"/>
  <c r="B1027" i="2"/>
  <c r="C1026" i="2"/>
  <c r="B1026" i="2"/>
  <c r="C1025" i="2"/>
  <c r="B1025" i="2"/>
  <c r="C1024" i="2"/>
  <c r="B1024" i="2"/>
  <c r="C1023" i="2"/>
  <c r="B1023" i="2"/>
  <c r="C1022" i="2"/>
  <c r="B1022" i="2"/>
  <c r="C1021" i="2"/>
  <c r="B1021" i="2"/>
  <c r="C1020" i="2"/>
  <c r="B1020" i="2"/>
  <c r="C1019" i="2"/>
  <c r="B1019" i="2"/>
  <c r="C1018" i="2"/>
  <c r="B1018" i="2"/>
  <c r="C1017" i="2"/>
  <c r="B1017" i="2"/>
  <c r="C1016" i="2"/>
  <c r="B1016" i="2"/>
  <c r="C1015" i="2"/>
  <c r="B1015" i="2"/>
  <c r="C1014" i="2"/>
  <c r="B1014" i="2"/>
  <c r="C1013" i="2"/>
  <c r="B1013" i="2"/>
  <c r="C1012" i="2"/>
  <c r="B1012" i="2"/>
  <c r="C1011" i="2"/>
  <c r="B1011" i="2"/>
  <c r="C1010" i="2"/>
  <c r="B1010" i="2"/>
  <c r="C1009" i="2"/>
  <c r="B1009" i="2"/>
  <c r="C1008" i="2"/>
  <c r="B1008" i="2"/>
  <c r="C1007" i="2"/>
  <c r="B1007" i="2"/>
  <c r="C1006" i="2"/>
  <c r="B1006" i="2"/>
  <c r="C1005" i="2"/>
  <c r="B1005" i="2"/>
  <c r="C1004" i="2"/>
  <c r="B1004" i="2"/>
  <c r="C1003" i="2"/>
  <c r="B1003" i="2"/>
  <c r="C1002" i="2"/>
  <c r="B1002" i="2"/>
  <c r="C1001" i="2"/>
  <c r="B1001" i="2"/>
  <c r="C1000" i="2"/>
  <c r="B1000" i="2"/>
  <c r="C999" i="2"/>
  <c r="B999" i="2"/>
  <c r="C998" i="2"/>
  <c r="B998" i="2"/>
  <c r="C997" i="2"/>
  <c r="B997" i="2"/>
  <c r="C996" i="2"/>
  <c r="B996" i="2"/>
  <c r="C995" i="2"/>
  <c r="B995" i="2"/>
  <c r="C994" i="2"/>
  <c r="B994" i="2"/>
  <c r="C993" i="2"/>
  <c r="B993" i="2"/>
  <c r="C992" i="2"/>
  <c r="B992" i="2"/>
  <c r="C991" i="2"/>
  <c r="B991" i="2"/>
  <c r="C990" i="2"/>
  <c r="B990" i="2"/>
  <c r="C989" i="2"/>
  <c r="B989" i="2"/>
  <c r="C988" i="2"/>
  <c r="B988" i="2"/>
  <c r="C987" i="2"/>
  <c r="B987" i="2"/>
  <c r="C986" i="2"/>
  <c r="B986" i="2"/>
  <c r="C985" i="2"/>
  <c r="B985" i="2"/>
  <c r="C984" i="2"/>
  <c r="B984" i="2"/>
  <c r="C983" i="2"/>
  <c r="B983" i="2"/>
  <c r="C982" i="2"/>
  <c r="B982" i="2"/>
  <c r="C981" i="2"/>
  <c r="B981" i="2"/>
  <c r="C980" i="2"/>
  <c r="B980" i="2"/>
  <c r="C979" i="2"/>
  <c r="B979" i="2"/>
  <c r="C978" i="2"/>
  <c r="B978" i="2"/>
  <c r="C977" i="2"/>
  <c r="B977" i="2"/>
  <c r="C976" i="2"/>
  <c r="B976" i="2"/>
  <c r="C975" i="2"/>
  <c r="B975" i="2"/>
  <c r="C974" i="2"/>
  <c r="B974" i="2"/>
  <c r="C973" i="2"/>
  <c r="B973" i="2"/>
  <c r="C972" i="2"/>
  <c r="B972" i="2"/>
  <c r="C971" i="2"/>
  <c r="B971" i="2"/>
  <c r="C970" i="2"/>
  <c r="B970" i="2"/>
  <c r="C969" i="2"/>
  <c r="B969" i="2"/>
  <c r="C968" i="2"/>
  <c r="B968" i="2"/>
  <c r="C967" i="2"/>
  <c r="B967" i="2"/>
  <c r="C966" i="2"/>
  <c r="B966" i="2"/>
  <c r="C965" i="2"/>
  <c r="B965" i="2"/>
  <c r="C964" i="2"/>
  <c r="B964" i="2"/>
  <c r="C963" i="2"/>
  <c r="B963" i="2"/>
  <c r="C962" i="2"/>
  <c r="B962" i="2"/>
  <c r="C961" i="2"/>
  <c r="B961" i="2"/>
  <c r="C960" i="2"/>
  <c r="B960" i="2"/>
  <c r="C959" i="2"/>
  <c r="B959" i="2"/>
  <c r="C958" i="2"/>
  <c r="B958" i="2"/>
  <c r="C957" i="2"/>
  <c r="B957" i="2"/>
  <c r="C956" i="2"/>
  <c r="B956" i="2"/>
  <c r="C955" i="2"/>
  <c r="B955" i="2"/>
  <c r="C954" i="2"/>
  <c r="B954" i="2"/>
  <c r="C953" i="2"/>
  <c r="B953" i="2"/>
  <c r="C952" i="2"/>
  <c r="B952" i="2"/>
  <c r="C951" i="2"/>
  <c r="B951" i="2"/>
  <c r="C950" i="2"/>
  <c r="B950" i="2"/>
  <c r="C949" i="2"/>
  <c r="B949" i="2"/>
  <c r="C948" i="2"/>
  <c r="B948" i="2"/>
  <c r="C947" i="2"/>
  <c r="B947" i="2"/>
  <c r="C946" i="2"/>
  <c r="B946" i="2"/>
  <c r="C945" i="2"/>
  <c r="B945" i="2"/>
  <c r="C944" i="2"/>
  <c r="B944" i="2"/>
  <c r="C943" i="2"/>
  <c r="B943" i="2"/>
  <c r="C942" i="2"/>
  <c r="B942" i="2"/>
  <c r="C941" i="2"/>
  <c r="B941" i="2"/>
  <c r="C940" i="2"/>
  <c r="B940" i="2"/>
  <c r="C939" i="2"/>
  <c r="B939" i="2"/>
  <c r="C938" i="2"/>
  <c r="B938" i="2"/>
  <c r="C937" i="2"/>
  <c r="B937" i="2"/>
  <c r="C936" i="2"/>
  <c r="B936" i="2"/>
  <c r="C935" i="2"/>
  <c r="B935" i="2"/>
  <c r="C934" i="2"/>
  <c r="B934" i="2"/>
  <c r="C933" i="2"/>
  <c r="B933" i="2"/>
  <c r="C932" i="2"/>
  <c r="B932" i="2"/>
  <c r="C931" i="2"/>
  <c r="B931" i="2"/>
  <c r="C930" i="2"/>
  <c r="B930" i="2"/>
  <c r="C929" i="2"/>
  <c r="B929" i="2"/>
  <c r="C928" i="2"/>
  <c r="B928" i="2"/>
  <c r="C927" i="2"/>
  <c r="B927" i="2"/>
  <c r="C926" i="2"/>
  <c r="B926" i="2"/>
  <c r="C925" i="2"/>
  <c r="B925" i="2"/>
  <c r="C924" i="2"/>
  <c r="B924" i="2"/>
  <c r="C923" i="2"/>
  <c r="B923" i="2"/>
  <c r="C922" i="2"/>
  <c r="B922" i="2"/>
  <c r="C921" i="2"/>
  <c r="B921" i="2"/>
  <c r="C920" i="2"/>
  <c r="B920" i="2"/>
  <c r="C919" i="2"/>
  <c r="B919" i="2"/>
  <c r="C918" i="2"/>
  <c r="B918" i="2"/>
  <c r="C917" i="2"/>
  <c r="B917" i="2"/>
  <c r="C916" i="2"/>
  <c r="B916" i="2"/>
  <c r="C915" i="2"/>
  <c r="B915" i="2"/>
  <c r="C914" i="2"/>
  <c r="B914" i="2"/>
  <c r="C913" i="2"/>
  <c r="B913" i="2"/>
  <c r="C912" i="2"/>
  <c r="B912" i="2"/>
  <c r="C911" i="2"/>
  <c r="B911" i="2"/>
  <c r="C910" i="2"/>
  <c r="B910" i="2"/>
  <c r="C909" i="2"/>
  <c r="B909" i="2"/>
  <c r="C908" i="2"/>
  <c r="B908" i="2"/>
  <c r="C907" i="2"/>
  <c r="B907" i="2"/>
  <c r="C906" i="2"/>
  <c r="B906" i="2"/>
  <c r="C905" i="2"/>
  <c r="B905" i="2"/>
  <c r="C904" i="2"/>
  <c r="B904" i="2"/>
  <c r="C903" i="2"/>
  <c r="B903" i="2"/>
  <c r="C902" i="2"/>
  <c r="B902" i="2"/>
  <c r="C901" i="2"/>
  <c r="B901" i="2"/>
  <c r="C900" i="2"/>
  <c r="B900" i="2"/>
  <c r="C899" i="2"/>
  <c r="B899" i="2"/>
  <c r="C898" i="2"/>
  <c r="B898" i="2"/>
  <c r="C897" i="2"/>
  <c r="B897" i="2"/>
  <c r="C896" i="2"/>
  <c r="B896" i="2"/>
  <c r="C895" i="2"/>
  <c r="B895" i="2"/>
  <c r="C894" i="2"/>
  <c r="B894" i="2"/>
  <c r="C893" i="2"/>
  <c r="B893" i="2"/>
  <c r="C892" i="2"/>
  <c r="B892" i="2"/>
  <c r="C891" i="2"/>
  <c r="B891" i="2"/>
  <c r="C890" i="2"/>
  <c r="B890" i="2"/>
  <c r="C889" i="2"/>
  <c r="B889" i="2"/>
  <c r="C888" i="2"/>
  <c r="B888" i="2"/>
  <c r="C887" i="2"/>
  <c r="B887" i="2"/>
  <c r="C886" i="2"/>
  <c r="B886" i="2"/>
  <c r="C885" i="2"/>
  <c r="B885" i="2"/>
  <c r="C884" i="2"/>
  <c r="B884" i="2"/>
  <c r="C883" i="2"/>
  <c r="B883" i="2"/>
  <c r="C882" i="2"/>
  <c r="B882" i="2"/>
  <c r="C881" i="2"/>
  <c r="B881" i="2"/>
  <c r="C880" i="2"/>
  <c r="B880" i="2"/>
  <c r="C879" i="2"/>
  <c r="B879" i="2"/>
  <c r="C878" i="2"/>
  <c r="B878" i="2"/>
  <c r="C877" i="2"/>
  <c r="B877" i="2"/>
  <c r="C876" i="2"/>
  <c r="B876" i="2"/>
  <c r="C875" i="2"/>
  <c r="B875" i="2"/>
  <c r="C874" i="2"/>
  <c r="B874" i="2"/>
  <c r="C873" i="2"/>
  <c r="B873" i="2"/>
  <c r="C872" i="2"/>
  <c r="B872" i="2"/>
  <c r="C871" i="2"/>
  <c r="B871" i="2"/>
  <c r="C870" i="2"/>
  <c r="B870" i="2"/>
  <c r="C869" i="2"/>
  <c r="B869" i="2"/>
  <c r="C868" i="2"/>
  <c r="B868" i="2"/>
  <c r="C867" i="2"/>
  <c r="B867" i="2"/>
  <c r="C866" i="2"/>
  <c r="B866" i="2"/>
  <c r="C865" i="2"/>
  <c r="B865" i="2"/>
  <c r="C864" i="2"/>
  <c r="B864" i="2"/>
  <c r="C863" i="2"/>
  <c r="B863" i="2"/>
  <c r="C862" i="2"/>
  <c r="B862" i="2"/>
  <c r="C861" i="2"/>
  <c r="B861" i="2"/>
  <c r="C860" i="2"/>
  <c r="B860" i="2"/>
  <c r="C859" i="2"/>
  <c r="B859" i="2"/>
  <c r="C858" i="2"/>
  <c r="B858" i="2"/>
  <c r="C857" i="2"/>
  <c r="B857" i="2"/>
  <c r="C856" i="2"/>
  <c r="B856" i="2"/>
  <c r="C855" i="2"/>
  <c r="B855" i="2"/>
  <c r="C854" i="2"/>
  <c r="B854" i="2"/>
  <c r="C853" i="2"/>
  <c r="B853" i="2"/>
  <c r="C852" i="2"/>
  <c r="B852" i="2"/>
  <c r="C851" i="2"/>
  <c r="B851" i="2"/>
  <c r="C850" i="2"/>
  <c r="B850" i="2"/>
  <c r="C849" i="2"/>
  <c r="B849" i="2"/>
  <c r="C848" i="2"/>
  <c r="B848" i="2"/>
  <c r="C847" i="2"/>
  <c r="B847" i="2"/>
  <c r="C846" i="2"/>
  <c r="B846" i="2"/>
  <c r="C845" i="2"/>
  <c r="B845" i="2"/>
  <c r="C844" i="2"/>
  <c r="B844" i="2"/>
  <c r="C843" i="2"/>
  <c r="B843" i="2"/>
  <c r="C842" i="2"/>
  <c r="B842" i="2"/>
  <c r="C841" i="2"/>
  <c r="B841" i="2"/>
  <c r="C840" i="2"/>
  <c r="B840" i="2"/>
  <c r="C839" i="2"/>
  <c r="B839" i="2"/>
  <c r="C838" i="2"/>
  <c r="B838" i="2"/>
  <c r="C837" i="2"/>
  <c r="B837" i="2"/>
  <c r="C836" i="2"/>
  <c r="B836" i="2"/>
  <c r="C835" i="2"/>
  <c r="B835" i="2"/>
  <c r="C834" i="2"/>
  <c r="B834" i="2"/>
  <c r="C833" i="2"/>
  <c r="B833" i="2"/>
  <c r="C832" i="2"/>
  <c r="B832" i="2"/>
  <c r="C831" i="2"/>
  <c r="B831" i="2"/>
  <c r="C830" i="2"/>
  <c r="B830" i="2"/>
  <c r="C829" i="2"/>
  <c r="B829" i="2"/>
  <c r="C828" i="2"/>
  <c r="B828" i="2"/>
  <c r="C827" i="2"/>
  <c r="B827" i="2"/>
  <c r="C826" i="2"/>
  <c r="B826" i="2"/>
  <c r="C825" i="2"/>
  <c r="B825" i="2"/>
  <c r="C824" i="2"/>
  <c r="B824" i="2"/>
  <c r="C823" i="2"/>
  <c r="B823" i="2"/>
  <c r="C822" i="2"/>
  <c r="B822" i="2"/>
  <c r="C821" i="2"/>
  <c r="B821" i="2"/>
  <c r="C820" i="2"/>
  <c r="B820" i="2"/>
  <c r="C819" i="2"/>
  <c r="B819" i="2"/>
  <c r="C818" i="2"/>
  <c r="B818" i="2"/>
  <c r="C817" i="2"/>
  <c r="B817" i="2"/>
  <c r="C816" i="2"/>
  <c r="B816" i="2"/>
  <c r="C815" i="2"/>
  <c r="B815" i="2"/>
  <c r="C814" i="2"/>
  <c r="B814" i="2"/>
  <c r="C813" i="2"/>
  <c r="B813" i="2"/>
  <c r="C812" i="2"/>
  <c r="B812" i="2"/>
  <c r="C811" i="2"/>
  <c r="B811" i="2"/>
  <c r="C810" i="2"/>
  <c r="B810" i="2"/>
  <c r="C809" i="2"/>
  <c r="B809" i="2"/>
  <c r="C808" i="2"/>
  <c r="B808" i="2"/>
  <c r="C807" i="2"/>
  <c r="B807" i="2"/>
  <c r="C806" i="2"/>
  <c r="B806" i="2"/>
  <c r="C805" i="2"/>
  <c r="B805" i="2"/>
  <c r="C804" i="2"/>
  <c r="B804" i="2"/>
  <c r="C803" i="2"/>
  <c r="B803" i="2"/>
  <c r="C802" i="2"/>
  <c r="B802" i="2"/>
  <c r="C801" i="2"/>
  <c r="B801" i="2"/>
  <c r="C800" i="2"/>
  <c r="B800" i="2"/>
  <c r="C799" i="2"/>
  <c r="B799" i="2"/>
  <c r="C798" i="2"/>
  <c r="B798" i="2"/>
  <c r="C797" i="2"/>
  <c r="B797" i="2"/>
  <c r="C796" i="2"/>
  <c r="B796" i="2"/>
  <c r="C795" i="2"/>
  <c r="B795" i="2"/>
  <c r="C794" i="2"/>
  <c r="B794" i="2"/>
  <c r="C793" i="2"/>
  <c r="B793" i="2"/>
  <c r="C792" i="2"/>
  <c r="B792" i="2"/>
  <c r="C791" i="2"/>
  <c r="B791" i="2"/>
  <c r="C790" i="2"/>
  <c r="B790" i="2"/>
  <c r="C789" i="2"/>
  <c r="B789" i="2"/>
  <c r="C788" i="2"/>
  <c r="B788" i="2"/>
  <c r="C787" i="2"/>
  <c r="B787" i="2"/>
  <c r="C786" i="2"/>
  <c r="B786" i="2"/>
  <c r="C785" i="2"/>
  <c r="B785" i="2"/>
  <c r="C784" i="2"/>
  <c r="B784" i="2"/>
  <c r="C783" i="2"/>
  <c r="B783" i="2"/>
  <c r="C782" i="2"/>
  <c r="B782" i="2"/>
  <c r="C781" i="2"/>
  <c r="B781" i="2"/>
  <c r="C780" i="2"/>
  <c r="B780" i="2"/>
  <c r="C779" i="2"/>
  <c r="B779" i="2"/>
  <c r="C778" i="2"/>
  <c r="B778" i="2"/>
  <c r="C777" i="2"/>
  <c r="B777" i="2"/>
  <c r="C776" i="2"/>
  <c r="B776" i="2"/>
  <c r="C775" i="2"/>
  <c r="B775" i="2"/>
  <c r="C774" i="2"/>
  <c r="B774" i="2"/>
  <c r="C773" i="2"/>
  <c r="B773" i="2"/>
  <c r="C772" i="2"/>
  <c r="B772" i="2"/>
  <c r="C771" i="2"/>
  <c r="B771" i="2"/>
  <c r="C770" i="2"/>
  <c r="B770" i="2"/>
  <c r="C769" i="2"/>
  <c r="B769" i="2"/>
  <c r="C768" i="2"/>
  <c r="B768" i="2"/>
  <c r="C767" i="2"/>
  <c r="B767" i="2"/>
  <c r="C766" i="2"/>
  <c r="B766" i="2"/>
  <c r="C765" i="2"/>
  <c r="B765" i="2"/>
  <c r="C764" i="2"/>
  <c r="B764" i="2"/>
  <c r="C763" i="2"/>
  <c r="B763" i="2"/>
  <c r="C762" i="2"/>
  <c r="B762" i="2"/>
  <c r="C761" i="2"/>
  <c r="B761" i="2"/>
  <c r="C760" i="2"/>
  <c r="B760" i="2"/>
  <c r="C759" i="2"/>
  <c r="B759" i="2"/>
  <c r="C758" i="2"/>
  <c r="B758" i="2"/>
  <c r="C757" i="2"/>
  <c r="B757" i="2"/>
  <c r="C756" i="2"/>
  <c r="B756" i="2"/>
  <c r="C755" i="2"/>
  <c r="B755" i="2"/>
  <c r="C754" i="2"/>
  <c r="B754" i="2"/>
  <c r="C753" i="2"/>
  <c r="B753" i="2"/>
  <c r="C752" i="2"/>
  <c r="B752" i="2"/>
  <c r="C751" i="2"/>
  <c r="B751" i="2"/>
  <c r="C750" i="2"/>
  <c r="B750" i="2"/>
  <c r="C749" i="2"/>
  <c r="B749" i="2"/>
  <c r="C748" i="2"/>
  <c r="B748" i="2"/>
  <c r="C747" i="2"/>
  <c r="B747" i="2"/>
  <c r="C746" i="2"/>
  <c r="B746" i="2"/>
  <c r="C745" i="2"/>
  <c r="B745" i="2"/>
  <c r="C744" i="2"/>
  <c r="B744" i="2"/>
  <c r="C743" i="2"/>
  <c r="B743" i="2"/>
  <c r="C742" i="2"/>
  <c r="B742" i="2"/>
  <c r="C741" i="2"/>
  <c r="B741" i="2"/>
  <c r="C740" i="2"/>
  <c r="B740" i="2"/>
  <c r="C739" i="2"/>
  <c r="B739" i="2"/>
  <c r="C738" i="2"/>
  <c r="B738" i="2"/>
  <c r="C737" i="2"/>
  <c r="B737" i="2"/>
  <c r="C736" i="2"/>
  <c r="B736" i="2"/>
  <c r="C735" i="2"/>
  <c r="B735" i="2"/>
  <c r="C734" i="2"/>
  <c r="B734" i="2"/>
  <c r="C733" i="2"/>
  <c r="B733" i="2"/>
  <c r="C732" i="2"/>
  <c r="B732" i="2"/>
  <c r="C731" i="2"/>
  <c r="B731" i="2"/>
  <c r="C730" i="2"/>
  <c r="B730" i="2"/>
  <c r="C729" i="2"/>
  <c r="B729" i="2"/>
  <c r="C728" i="2"/>
  <c r="B728" i="2"/>
  <c r="C727" i="2"/>
  <c r="B727" i="2"/>
  <c r="C726" i="2"/>
  <c r="B726" i="2"/>
  <c r="C725" i="2"/>
  <c r="B725" i="2"/>
  <c r="C724" i="2"/>
  <c r="B724" i="2"/>
  <c r="C723" i="2"/>
  <c r="B723" i="2"/>
  <c r="C722" i="2"/>
  <c r="B722" i="2"/>
  <c r="C721" i="2"/>
  <c r="B721" i="2"/>
  <c r="C720" i="2"/>
  <c r="B720" i="2"/>
  <c r="C719" i="2"/>
  <c r="B719" i="2"/>
  <c r="C718" i="2"/>
  <c r="B718" i="2"/>
  <c r="C717" i="2"/>
  <c r="B717" i="2"/>
  <c r="C716" i="2"/>
  <c r="B716" i="2"/>
  <c r="C715" i="2"/>
  <c r="B715" i="2"/>
  <c r="C714" i="2"/>
  <c r="B714" i="2"/>
  <c r="C713" i="2"/>
  <c r="B713" i="2"/>
  <c r="C712" i="2"/>
  <c r="B712" i="2"/>
  <c r="C711" i="2"/>
  <c r="B711" i="2"/>
  <c r="C710" i="2"/>
  <c r="B710" i="2"/>
  <c r="C709" i="2"/>
  <c r="B709" i="2"/>
  <c r="C708" i="2"/>
  <c r="B708" i="2"/>
  <c r="C707" i="2"/>
  <c r="B707" i="2"/>
  <c r="C706" i="2"/>
  <c r="B706" i="2"/>
  <c r="C705" i="2"/>
  <c r="B705" i="2"/>
  <c r="C704" i="2"/>
  <c r="B704" i="2"/>
  <c r="C703" i="2"/>
  <c r="B703" i="2"/>
  <c r="C702" i="2"/>
  <c r="B702" i="2"/>
  <c r="C701" i="2"/>
  <c r="B701" i="2"/>
  <c r="C700" i="2"/>
  <c r="B700" i="2"/>
  <c r="C699" i="2"/>
  <c r="B699" i="2"/>
  <c r="C698" i="2"/>
  <c r="B698" i="2"/>
  <c r="C697" i="2"/>
  <c r="B697" i="2"/>
  <c r="C696" i="2"/>
  <c r="B696" i="2"/>
  <c r="C695" i="2"/>
  <c r="B695" i="2"/>
  <c r="C694" i="2"/>
  <c r="B694" i="2"/>
  <c r="C693" i="2"/>
  <c r="B693" i="2"/>
  <c r="C692" i="2"/>
  <c r="B692" i="2"/>
  <c r="C691" i="2"/>
  <c r="B691" i="2"/>
  <c r="C690" i="2"/>
  <c r="B690" i="2"/>
  <c r="C689" i="2"/>
  <c r="B689" i="2"/>
  <c r="C688" i="2"/>
  <c r="B688" i="2"/>
  <c r="C687" i="2"/>
  <c r="B687" i="2"/>
  <c r="C686" i="2"/>
  <c r="B686" i="2"/>
  <c r="C685" i="2"/>
  <c r="B685" i="2"/>
  <c r="C684" i="2"/>
  <c r="B684" i="2"/>
  <c r="C683" i="2"/>
  <c r="B683" i="2"/>
  <c r="C682" i="2"/>
  <c r="B682" i="2"/>
  <c r="C681" i="2"/>
  <c r="B681" i="2"/>
  <c r="C680" i="2"/>
  <c r="B680" i="2"/>
  <c r="C679" i="2"/>
  <c r="B679" i="2"/>
  <c r="C678" i="2"/>
  <c r="B678" i="2"/>
  <c r="C677" i="2"/>
  <c r="B677" i="2"/>
  <c r="C676" i="2"/>
  <c r="B676" i="2"/>
  <c r="C675" i="2"/>
  <c r="B675" i="2"/>
  <c r="C674" i="2"/>
  <c r="B674" i="2"/>
  <c r="C673" i="2"/>
  <c r="B673" i="2"/>
  <c r="C672" i="2"/>
  <c r="B672" i="2"/>
  <c r="C671" i="2"/>
  <c r="B671" i="2"/>
  <c r="C670" i="2"/>
  <c r="B670" i="2"/>
  <c r="C669" i="2"/>
  <c r="B669" i="2"/>
  <c r="C668" i="2"/>
  <c r="B668" i="2"/>
  <c r="C667" i="2"/>
  <c r="B667" i="2"/>
  <c r="C666" i="2"/>
  <c r="B666" i="2"/>
  <c r="C665" i="2"/>
  <c r="B665" i="2"/>
  <c r="C664" i="2"/>
  <c r="B664" i="2"/>
  <c r="C663" i="2"/>
  <c r="B663" i="2"/>
  <c r="C662" i="2"/>
  <c r="B662" i="2"/>
  <c r="C661" i="2"/>
  <c r="B661" i="2"/>
  <c r="C660" i="2"/>
  <c r="B660" i="2"/>
  <c r="C659" i="2"/>
  <c r="B659" i="2"/>
  <c r="C658" i="2"/>
  <c r="B658" i="2"/>
  <c r="C657" i="2"/>
  <c r="B657" i="2"/>
  <c r="C656" i="2"/>
  <c r="B656" i="2"/>
  <c r="C655" i="2"/>
  <c r="B655" i="2"/>
  <c r="C654" i="2"/>
  <c r="B654" i="2"/>
  <c r="C653" i="2"/>
  <c r="B653" i="2"/>
  <c r="C652" i="2"/>
  <c r="B652" i="2"/>
  <c r="C651" i="2"/>
  <c r="B651" i="2"/>
  <c r="C650" i="2"/>
  <c r="B650" i="2"/>
  <c r="C649" i="2"/>
  <c r="B649" i="2"/>
  <c r="C648" i="2"/>
  <c r="B648" i="2"/>
  <c r="C647" i="2"/>
  <c r="B647" i="2"/>
  <c r="C646" i="2"/>
  <c r="B646" i="2"/>
  <c r="C645" i="2"/>
  <c r="B645" i="2"/>
  <c r="C644" i="2"/>
  <c r="B644" i="2"/>
  <c r="C643" i="2"/>
  <c r="B643" i="2"/>
  <c r="C642" i="2"/>
  <c r="B642" i="2"/>
  <c r="C641" i="2"/>
  <c r="B641" i="2"/>
  <c r="C640" i="2"/>
  <c r="B640" i="2"/>
  <c r="C639" i="2"/>
  <c r="B639" i="2"/>
  <c r="C638" i="2"/>
  <c r="B638" i="2"/>
  <c r="C637" i="2"/>
  <c r="B637" i="2"/>
  <c r="C636" i="2"/>
  <c r="B636" i="2"/>
  <c r="C635" i="2"/>
  <c r="B635" i="2"/>
  <c r="C634" i="2"/>
  <c r="B634" i="2"/>
  <c r="C633" i="2"/>
  <c r="B633" i="2"/>
  <c r="C632" i="2"/>
  <c r="B632" i="2"/>
  <c r="C631" i="2"/>
  <c r="B631" i="2"/>
  <c r="C630" i="2"/>
  <c r="B630" i="2"/>
  <c r="C629" i="2"/>
  <c r="B629" i="2"/>
  <c r="C628" i="2"/>
  <c r="B628" i="2"/>
  <c r="C627" i="2"/>
  <c r="B627" i="2"/>
  <c r="C626" i="2"/>
  <c r="B626" i="2"/>
  <c r="C625" i="2"/>
  <c r="B625" i="2"/>
  <c r="C624" i="2"/>
  <c r="B624" i="2"/>
  <c r="C623" i="2"/>
  <c r="B623" i="2"/>
  <c r="C622" i="2"/>
  <c r="B622" i="2"/>
  <c r="C621" i="2"/>
  <c r="B621" i="2"/>
  <c r="C620" i="2"/>
  <c r="B620" i="2"/>
  <c r="C619" i="2"/>
  <c r="B619" i="2"/>
  <c r="C618" i="2"/>
  <c r="B618" i="2"/>
  <c r="C617" i="2"/>
  <c r="B617" i="2"/>
  <c r="C616" i="2"/>
  <c r="B616" i="2"/>
  <c r="C615" i="2"/>
  <c r="B615" i="2"/>
  <c r="C614" i="2"/>
  <c r="B614" i="2"/>
  <c r="C613" i="2"/>
  <c r="B613" i="2"/>
  <c r="C612" i="2"/>
  <c r="B612" i="2"/>
  <c r="C611" i="2"/>
  <c r="B611" i="2"/>
  <c r="C610" i="2"/>
  <c r="B610" i="2"/>
  <c r="C609" i="2"/>
  <c r="B609" i="2"/>
  <c r="C608" i="2"/>
  <c r="B608" i="2"/>
  <c r="C607" i="2"/>
  <c r="B607" i="2"/>
  <c r="C606" i="2"/>
  <c r="B606" i="2"/>
  <c r="C605" i="2"/>
  <c r="B605" i="2"/>
  <c r="C604" i="2"/>
  <c r="B604" i="2"/>
  <c r="C603" i="2"/>
  <c r="B603" i="2"/>
  <c r="C602" i="2"/>
  <c r="B602" i="2"/>
  <c r="C601" i="2"/>
  <c r="B601" i="2"/>
  <c r="C600" i="2"/>
  <c r="B600" i="2"/>
  <c r="C599" i="2"/>
  <c r="B599" i="2"/>
  <c r="C598" i="2"/>
  <c r="B598" i="2"/>
  <c r="C597" i="2"/>
  <c r="B597" i="2"/>
  <c r="C596" i="2"/>
  <c r="B596" i="2"/>
  <c r="C595" i="2"/>
  <c r="B595" i="2"/>
  <c r="C594" i="2"/>
  <c r="B594" i="2"/>
  <c r="C593" i="2"/>
  <c r="B593" i="2"/>
  <c r="C592" i="2"/>
  <c r="B592" i="2"/>
  <c r="C591" i="2"/>
  <c r="B591" i="2"/>
  <c r="C590" i="2"/>
  <c r="B590" i="2"/>
  <c r="C589" i="2"/>
  <c r="B589" i="2"/>
  <c r="C588" i="2"/>
  <c r="B588" i="2"/>
  <c r="C587" i="2"/>
  <c r="B587" i="2"/>
  <c r="C586" i="2"/>
  <c r="B586" i="2"/>
  <c r="C585" i="2"/>
  <c r="B585" i="2"/>
  <c r="C584" i="2"/>
  <c r="B584" i="2"/>
  <c r="C583" i="2"/>
  <c r="B583" i="2"/>
  <c r="C582" i="2"/>
  <c r="B582" i="2"/>
  <c r="C581" i="2"/>
  <c r="B581" i="2"/>
  <c r="C580" i="2"/>
  <c r="B580" i="2"/>
  <c r="C579" i="2"/>
  <c r="B579" i="2"/>
  <c r="C578" i="2"/>
  <c r="B578" i="2"/>
  <c r="C577" i="2"/>
  <c r="B577" i="2"/>
  <c r="C576" i="2"/>
  <c r="B576" i="2"/>
  <c r="C575" i="2"/>
  <c r="B575" i="2"/>
  <c r="C574" i="2"/>
  <c r="B574" i="2"/>
  <c r="C573" i="2"/>
  <c r="B573" i="2"/>
  <c r="C572" i="2"/>
  <c r="B572" i="2"/>
  <c r="C571" i="2"/>
  <c r="B571" i="2"/>
  <c r="C570" i="2"/>
  <c r="B570" i="2"/>
  <c r="C569" i="2"/>
  <c r="B569" i="2"/>
  <c r="C568" i="2"/>
  <c r="B568" i="2"/>
  <c r="C567" i="2"/>
  <c r="B567" i="2"/>
  <c r="C566" i="2"/>
  <c r="B566" i="2"/>
  <c r="C565" i="2"/>
  <c r="B565" i="2"/>
  <c r="C564" i="2"/>
  <c r="B564" i="2"/>
  <c r="C563" i="2"/>
  <c r="B563" i="2"/>
  <c r="C562" i="2"/>
  <c r="B562" i="2"/>
  <c r="C561" i="2"/>
  <c r="B561" i="2"/>
  <c r="C560" i="2"/>
  <c r="B560" i="2"/>
  <c r="C559" i="2"/>
  <c r="B559" i="2"/>
  <c r="C558" i="2"/>
  <c r="B558" i="2"/>
  <c r="C557" i="2"/>
  <c r="B557" i="2"/>
  <c r="C556" i="2"/>
  <c r="B556" i="2"/>
  <c r="C555" i="2"/>
  <c r="B555" i="2"/>
  <c r="C554" i="2"/>
  <c r="B554" i="2"/>
  <c r="C553" i="2"/>
  <c r="B553" i="2"/>
  <c r="C552" i="2"/>
  <c r="B552" i="2"/>
  <c r="C551" i="2"/>
  <c r="B551" i="2"/>
  <c r="C550" i="2"/>
  <c r="B550" i="2"/>
  <c r="C549" i="2"/>
  <c r="B549" i="2"/>
  <c r="C548" i="2"/>
  <c r="B548" i="2"/>
  <c r="C547" i="2"/>
  <c r="B547" i="2"/>
  <c r="C546" i="2"/>
  <c r="B546" i="2"/>
  <c r="C545" i="2"/>
  <c r="B545" i="2"/>
  <c r="C544" i="2"/>
  <c r="B544" i="2"/>
  <c r="C543" i="2"/>
  <c r="B543" i="2"/>
  <c r="C542" i="2"/>
  <c r="B542" i="2"/>
  <c r="C541" i="2"/>
  <c r="B541" i="2"/>
  <c r="C540" i="2"/>
  <c r="B540" i="2"/>
  <c r="C539" i="2"/>
  <c r="B539" i="2"/>
  <c r="C538" i="2"/>
  <c r="B538" i="2"/>
  <c r="C537" i="2"/>
  <c r="B537" i="2"/>
  <c r="C536" i="2"/>
  <c r="B536" i="2"/>
  <c r="C535" i="2"/>
  <c r="B535" i="2"/>
  <c r="C534" i="2"/>
  <c r="B534" i="2"/>
  <c r="C533" i="2"/>
  <c r="B533" i="2"/>
  <c r="C532" i="2"/>
  <c r="B532" i="2"/>
  <c r="C531" i="2"/>
  <c r="B531" i="2"/>
  <c r="C530" i="2"/>
  <c r="B530" i="2"/>
  <c r="C529" i="2"/>
  <c r="B529" i="2"/>
  <c r="C528" i="2"/>
  <c r="B528" i="2"/>
  <c r="C527" i="2"/>
  <c r="B527" i="2"/>
  <c r="C526" i="2"/>
  <c r="B526" i="2"/>
  <c r="C525" i="2"/>
  <c r="B525" i="2"/>
  <c r="C524" i="2"/>
  <c r="B524" i="2"/>
  <c r="C523" i="2"/>
  <c r="B523" i="2"/>
  <c r="C522" i="2"/>
  <c r="B522" i="2"/>
  <c r="C521" i="2"/>
  <c r="B521" i="2"/>
  <c r="C520" i="2"/>
  <c r="B520" i="2"/>
  <c r="C519" i="2"/>
  <c r="B519" i="2"/>
  <c r="C518" i="2"/>
  <c r="B518" i="2"/>
  <c r="C517" i="2"/>
  <c r="B517" i="2"/>
  <c r="C516" i="2"/>
  <c r="B516" i="2"/>
  <c r="C515" i="2"/>
  <c r="B515" i="2"/>
  <c r="C514" i="2"/>
  <c r="B514" i="2"/>
  <c r="C513" i="2"/>
  <c r="B513" i="2"/>
  <c r="C512" i="2"/>
  <c r="B512" i="2"/>
  <c r="C511" i="2"/>
  <c r="B511" i="2"/>
  <c r="C510" i="2"/>
  <c r="B510" i="2"/>
  <c r="C509" i="2"/>
  <c r="B509" i="2"/>
  <c r="C508" i="2"/>
  <c r="B508" i="2"/>
  <c r="C507" i="2"/>
  <c r="B507" i="2"/>
  <c r="C506" i="2"/>
  <c r="B506" i="2"/>
  <c r="C505" i="2"/>
  <c r="B505" i="2"/>
  <c r="C504" i="2"/>
  <c r="B504" i="2"/>
  <c r="C503" i="2"/>
  <c r="B503" i="2"/>
  <c r="C502" i="2"/>
  <c r="B502" i="2"/>
  <c r="C501" i="2"/>
  <c r="B501" i="2"/>
  <c r="C500" i="2"/>
  <c r="B500" i="2"/>
  <c r="C499" i="2"/>
  <c r="B499" i="2"/>
  <c r="C498" i="2"/>
  <c r="B498" i="2"/>
  <c r="C497" i="2"/>
  <c r="B497" i="2"/>
  <c r="C496" i="2"/>
  <c r="B496" i="2"/>
  <c r="C495" i="2"/>
  <c r="B495" i="2"/>
  <c r="C494" i="2"/>
  <c r="B494" i="2"/>
  <c r="C493" i="2"/>
  <c r="B493" i="2"/>
  <c r="C492" i="2"/>
  <c r="B492" i="2"/>
  <c r="C491" i="2"/>
  <c r="B491" i="2"/>
  <c r="C490" i="2"/>
  <c r="B490" i="2"/>
  <c r="C489" i="2"/>
  <c r="B489" i="2"/>
  <c r="C488" i="2"/>
  <c r="B488" i="2"/>
  <c r="C487" i="2"/>
  <c r="B487" i="2"/>
  <c r="C486" i="2"/>
  <c r="B486" i="2"/>
  <c r="C485" i="2"/>
  <c r="B485" i="2"/>
  <c r="C484" i="2"/>
  <c r="B484" i="2"/>
  <c r="C483" i="2"/>
  <c r="B483" i="2"/>
  <c r="C482" i="2"/>
  <c r="B482" i="2"/>
  <c r="C481" i="2"/>
  <c r="B481" i="2"/>
  <c r="C480" i="2"/>
  <c r="B480" i="2"/>
  <c r="C479" i="2"/>
  <c r="B479" i="2"/>
  <c r="C478" i="2"/>
  <c r="B478" i="2"/>
  <c r="C477" i="2"/>
  <c r="B477" i="2"/>
  <c r="C476" i="2"/>
  <c r="B476" i="2"/>
  <c r="C475" i="2"/>
  <c r="B475" i="2"/>
  <c r="C474" i="2"/>
  <c r="B474" i="2"/>
  <c r="C473" i="2"/>
  <c r="B473" i="2"/>
  <c r="C472" i="2"/>
  <c r="B472" i="2"/>
  <c r="C471" i="2"/>
  <c r="B471" i="2"/>
  <c r="C470" i="2"/>
  <c r="B470" i="2"/>
  <c r="C469" i="2"/>
  <c r="B469" i="2"/>
  <c r="C468" i="2"/>
  <c r="B468" i="2"/>
  <c r="C467" i="2"/>
  <c r="B467" i="2"/>
  <c r="C466" i="2"/>
  <c r="B466" i="2"/>
  <c r="C465" i="2"/>
  <c r="B465" i="2"/>
  <c r="C464" i="2"/>
  <c r="B464" i="2"/>
  <c r="C463" i="2"/>
  <c r="B463" i="2"/>
  <c r="C462" i="2"/>
  <c r="B462" i="2"/>
  <c r="C461" i="2"/>
  <c r="B461" i="2"/>
  <c r="C460" i="2"/>
  <c r="B460" i="2"/>
  <c r="C459" i="2"/>
  <c r="B459" i="2"/>
  <c r="C458" i="2"/>
  <c r="B458" i="2"/>
  <c r="C457" i="2"/>
  <c r="B457" i="2"/>
  <c r="C456" i="2"/>
  <c r="B456" i="2"/>
  <c r="C455" i="2"/>
  <c r="B455" i="2"/>
  <c r="C454" i="2"/>
  <c r="B454" i="2"/>
  <c r="C453" i="2"/>
  <c r="B453" i="2"/>
  <c r="C452" i="2"/>
  <c r="B452" i="2"/>
  <c r="C451" i="2"/>
  <c r="B451" i="2"/>
  <c r="C450" i="2"/>
  <c r="B450" i="2"/>
  <c r="C449" i="2"/>
  <c r="B449" i="2"/>
  <c r="C448" i="2"/>
  <c r="B448" i="2"/>
  <c r="C447" i="2"/>
  <c r="B447" i="2"/>
  <c r="C446" i="2"/>
  <c r="B446" i="2"/>
  <c r="C445" i="2"/>
  <c r="B445" i="2"/>
  <c r="C444" i="2"/>
  <c r="B444" i="2"/>
  <c r="C443" i="2"/>
  <c r="B443" i="2"/>
  <c r="C442" i="2"/>
  <c r="B442" i="2"/>
  <c r="C441" i="2"/>
  <c r="B441" i="2"/>
  <c r="C440" i="2"/>
  <c r="B440" i="2"/>
  <c r="C439" i="2"/>
  <c r="B439" i="2"/>
  <c r="C438" i="2"/>
  <c r="B438" i="2"/>
  <c r="C437" i="2"/>
  <c r="B437" i="2"/>
  <c r="C436" i="2"/>
  <c r="B436" i="2"/>
  <c r="C435" i="2"/>
  <c r="B435" i="2"/>
  <c r="C434" i="2"/>
  <c r="B434" i="2"/>
  <c r="C433" i="2"/>
  <c r="B433" i="2"/>
  <c r="C432" i="2"/>
  <c r="B432" i="2"/>
  <c r="C431" i="2"/>
  <c r="B431" i="2"/>
  <c r="C430" i="2"/>
  <c r="B430" i="2"/>
  <c r="C429" i="2"/>
  <c r="B429" i="2"/>
  <c r="C428" i="2"/>
  <c r="B428" i="2"/>
  <c r="C427" i="2"/>
  <c r="B427" i="2"/>
  <c r="C426" i="2"/>
  <c r="B426" i="2"/>
  <c r="C425" i="2"/>
  <c r="B425" i="2"/>
  <c r="C424" i="2"/>
  <c r="B424" i="2"/>
  <c r="C423" i="2"/>
  <c r="B423" i="2"/>
  <c r="C422" i="2"/>
  <c r="B422" i="2"/>
  <c r="C421" i="2"/>
  <c r="B421" i="2"/>
  <c r="C420" i="2"/>
  <c r="B420" i="2"/>
  <c r="C419" i="2"/>
  <c r="B419" i="2"/>
  <c r="C418" i="2"/>
  <c r="B418" i="2"/>
  <c r="C417" i="2"/>
  <c r="B417" i="2"/>
  <c r="C416" i="2"/>
  <c r="B416" i="2"/>
  <c r="C415" i="2"/>
  <c r="B415" i="2"/>
  <c r="C414" i="2"/>
  <c r="B414" i="2"/>
  <c r="C413" i="2"/>
  <c r="B413" i="2"/>
  <c r="C412" i="2"/>
  <c r="B412" i="2"/>
  <c r="C411" i="2"/>
  <c r="B411" i="2"/>
  <c r="C410" i="2"/>
  <c r="B410" i="2"/>
  <c r="C409" i="2"/>
  <c r="B409" i="2"/>
  <c r="C408" i="2"/>
  <c r="B408" i="2"/>
  <c r="C407" i="2"/>
  <c r="B407" i="2"/>
  <c r="C406" i="2"/>
  <c r="B406" i="2"/>
  <c r="C405" i="2"/>
  <c r="B405" i="2"/>
  <c r="C404" i="2"/>
  <c r="B404" i="2"/>
  <c r="C403" i="2"/>
  <c r="B403" i="2"/>
  <c r="C402" i="2"/>
  <c r="B402" i="2"/>
  <c r="C401" i="2"/>
  <c r="B401" i="2"/>
  <c r="C400" i="2"/>
  <c r="B400" i="2"/>
  <c r="C399" i="2"/>
  <c r="B399" i="2"/>
  <c r="C398" i="2"/>
  <c r="B398" i="2"/>
  <c r="C397" i="2"/>
  <c r="B397" i="2"/>
  <c r="C396" i="2"/>
  <c r="B396" i="2"/>
  <c r="C395" i="2"/>
  <c r="B395" i="2"/>
  <c r="C394" i="2"/>
  <c r="B394" i="2"/>
  <c r="C393" i="2"/>
  <c r="B393" i="2"/>
  <c r="C392" i="2"/>
  <c r="B392" i="2"/>
  <c r="C391" i="2"/>
  <c r="B391" i="2"/>
  <c r="C390" i="2"/>
  <c r="B390" i="2"/>
  <c r="C389" i="2"/>
  <c r="B389" i="2"/>
  <c r="C388" i="2"/>
  <c r="B388" i="2"/>
  <c r="C387" i="2"/>
  <c r="B387" i="2"/>
  <c r="C386" i="2"/>
  <c r="B386" i="2"/>
  <c r="C385" i="2"/>
  <c r="B385" i="2"/>
  <c r="C384" i="2"/>
  <c r="B384" i="2"/>
  <c r="C383" i="2"/>
  <c r="B383" i="2"/>
  <c r="C382" i="2"/>
  <c r="B382" i="2"/>
  <c r="C381" i="2"/>
  <c r="B381" i="2"/>
  <c r="C380" i="2"/>
  <c r="B380" i="2"/>
  <c r="C379" i="2"/>
  <c r="B379" i="2"/>
  <c r="C378" i="2"/>
  <c r="B378" i="2"/>
  <c r="C377" i="2"/>
  <c r="B377" i="2"/>
  <c r="C376" i="2"/>
  <c r="B376" i="2"/>
  <c r="C375" i="2"/>
  <c r="B375" i="2"/>
  <c r="C374" i="2"/>
  <c r="B374" i="2"/>
  <c r="C373" i="2"/>
  <c r="B373" i="2"/>
  <c r="C372" i="2"/>
  <c r="B372" i="2"/>
  <c r="C371" i="2"/>
  <c r="B371" i="2"/>
  <c r="C370" i="2"/>
  <c r="B370" i="2"/>
  <c r="C369" i="2"/>
  <c r="B369" i="2"/>
  <c r="C368" i="2"/>
  <c r="B368" i="2"/>
  <c r="C367" i="2"/>
  <c r="B367" i="2"/>
  <c r="C366" i="2"/>
  <c r="B366" i="2"/>
  <c r="C365" i="2"/>
  <c r="B365" i="2"/>
  <c r="C364" i="2"/>
  <c r="B364" i="2"/>
  <c r="C363" i="2"/>
  <c r="B363" i="2"/>
  <c r="C362" i="2"/>
  <c r="B362" i="2"/>
  <c r="C361" i="2"/>
  <c r="B361" i="2"/>
  <c r="C360" i="2"/>
  <c r="B360" i="2"/>
  <c r="C359" i="2"/>
  <c r="B359" i="2"/>
  <c r="C358" i="2"/>
  <c r="B358" i="2"/>
  <c r="C357" i="2"/>
  <c r="B357" i="2"/>
  <c r="C356" i="2"/>
  <c r="B356" i="2"/>
  <c r="C355" i="2"/>
  <c r="B355" i="2"/>
  <c r="C354" i="2"/>
  <c r="B354" i="2"/>
  <c r="C353" i="2"/>
  <c r="B353" i="2"/>
  <c r="C352" i="2"/>
  <c r="B352" i="2"/>
  <c r="C351" i="2"/>
  <c r="B351" i="2"/>
  <c r="C350" i="2"/>
  <c r="B350" i="2"/>
  <c r="C349" i="2"/>
  <c r="B349" i="2"/>
  <c r="C348" i="2"/>
  <c r="B348" i="2"/>
  <c r="C347" i="2"/>
  <c r="B347" i="2"/>
  <c r="C346" i="2"/>
  <c r="B346" i="2"/>
  <c r="C345" i="2"/>
  <c r="B345" i="2"/>
  <c r="C344" i="2"/>
  <c r="B344" i="2"/>
  <c r="C343" i="2"/>
  <c r="B343" i="2"/>
  <c r="C342" i="2"/>
  <c r="B342" i="2"/>
  <c r="C341" i="2"/>
  <c r="B341" i="2"/>
  <c r="C340" i="2"/>
  <c r="B340" i="2"/>
  <c r="C339" i="2"/>
  <c r="B339" i="2"/>
  <c r="C338" i="2"/>
  <c r="B338" i="2"/>
  <c r="C337" i="2"/>
  <c r="B337" i="2"/>
  <c r="C336" i="2"/>
  <c r="B336" i="2"/>
  <c r="C335" i="2"/>
  <c r="B335" i="2"/>
  <c r="C334" i="2"/>
  <c r="B334" i="2"/>
  <c r="C333" i="2"/>
  <c r="B333" i="2"/>
  <c r="C332" i="2"/>
  <c r="B332" i="2"/>
  <c r="C331" i="2"/>
  <c r="B331" i="2"/>
  <c r="C330" i="2"/>
  <c r="B330" i="2"/>
  <c r="C329" i="2"/>
  <c r="B329" i="2"/>
  <c r="C328" i="2"/>
  <c r="B328" i="2"/>
  <c r="C327" i="2"/>
  <c r="B327" i="2"/>
  <c r="C326" i="2"/>
  <c r="B326" i="2"/>
  <c r="C325" i="2"/>
  <c r="B325" i="2"/>
  <c r="C324" i="2"/>
  <c r="B324" i="2"/>
  <c r="C323" i="2"/>
  <c r="B323" i="2"/>
  <c r="C322" i="2"/>
  <c r="B322" i="2"/>
  <c r="C321" i="2"/>
  <c r="B321" i="2"/>
  <c r="C320" i="2"/>
  <c r="B320" i="2"/>
  <c r="C319" i="2"/>
  <c r="B319" i="2"/>
  <c r="C318" i="2"/>
  <c r="B318" i="2"/>
  <c r="C317" i="2"/>
  <c r="B317" i="2"/>
  <c r="C316" i="2"/>
  <c r="B316" i="2"/>
  <c r="C315" i="2"/>
  <c r="B315" i="2"/>
  <c r="C314" i="2"/>
  <c r="B314" i="2"/>
  <c r="C313" i="2"/>
  <c r="B313" i="2"/>
  <c r="C312" i="2"/>
  <c r="B312" i="2"/>
  <c r="C311" i="2"/>
  <c r="B311" i="2"/>
  <c r="C310" i="2"/>
  <c r="B310" i="2"/>
  <c r="C309" i="2"/>
  <c r="B309" i="2"/>
  <c r="C308" i="2"/>
  <c r="B308" i="2"/>
  <c r="C307" i="2"/>
  <c r="B307" i="2"/>
  <c r="C306" i="2"/>
  <c r="B306" i="2"/>
  <c r="C305" i="2"/>
  <c r="B305" i="2"/>
  <c r="C304" i="2"/>
  <c r="B304" i="2"/>
  <c r="C303" i="2"/>
  <c r="B303" i="2"/>
  <c r="C302" i="2"/>
  <c r="B302" i="2"/>
  <c r="C301" i="2"/>
  <c r="B301" i="2"/>
  <c r="C300" i="2"/>
  <c r="B300" i="2"/>
  <c r="C299" i="2"/>
  <c r="B299" i="2"/>
  <c r="C298" i="2"/>
  <c r="B298" i="2"/>
  <c r="C297" i="2"/>
  <c r="B297" i="2"/>
  <c r="C296" i="2"/>
  <c r="B296" i="2"/>
  <c r="C295" i="2"/>
  <c r="B295" i="2"/>
  <c r="C294" i="2"/>
  <c r="B294" i="2"/>
  <c r="C293" i="2"/>
  <c r="B293" i="2"/>
  <c r="C292" i="2"/>
  <c r="B292" i="2"/>
  <c r="C291" i="2"/>
  <c r="B291" i="2"/>
  <c r="C290" i="2"/>
  <c r="B290" i="2"/>
  <c r="C289" i="2"/>
  <c r="B289" i="2"/>
  <c r="C288" i="2"/>
  <c r="B288" i="2"/>
  <c r="C287" i="2"/>
  <c r="B287" i="2"/>
  <c r="C286" i="2"/>
  <c r="B286" i="2"/>
  <c r="C285" i="2"/>
  <c r="B285" i="2"/>
  <c r="C284" i="2"/>
  <c r="B284" i="2"/>
  <c r="C283" i="2"/>
  <c r="B283" i="2"/>
  <c r="C282" i="2"/>
  <c r="B282" i="2"/>
  <c r="C281" i="2"/>
  <c r="B281" i="2"/>
  <c r="C280" i="2"/>
  <c r="B280" i="2"/>
  <c r="C279" i="2"/>
  <c r="B279" i="2"/>
  <c r="C278" i="2"/>
  <c r="B278" i="2"/>
  <c r="C277" i="2"/>
  <c r="B277" i="2"/>
  <c r="C276" i="2"/>
  <c r="B276" i="2"/>
  <c r="C275" i="2"/>
  <c r="B275" i="2"/>
  <c r="C274" i="2"/>
  <c r="B274" i="2"/>
  <c r="C273" i="2"/>
  <c r="B273" i="2"/>
  <c r="C272" i="2"/>
  <c r="B272" i="2"/>
  <c r="C271" i="2"/>
  <c r="B271" i="2"/>
  <c r="C270" i="2"/>
  <c r="B270" i="2"/>
  <c r="C269" i="2"/>
  <c r="B269" i="2"/>
  <c r="C268" i="2"/>
  <c r="B268" i="2"/>
  <c r="C267" i="2"/>
  <c r="B267" i="2"/>
  <c r="C266" i="2"/>
  <c r="B266" i="2"/>
  <c r="C265" i="2"/>
  <c r="B265" i="2"/>
  <c r="C264" i="2"/>
  <c r="B264" i="2"/>
  <c r="C263" i="2"/>
  <c r="B263" i="2"/>
  <c r="C262" i="2"/>
  <c r="B262" i="2"/>
  <c r="C261" i="2"/>
  <c r="B261" i="2"/>
  <c r="C260" i="2"/>
  <c r="B260" i="2"/>
  <c r="C259" i="2"/>
  <c r="B259" i="2"/>
  <c r="C258" i="2"/>
  <c r="B258" i="2"/>
  <c r="C257" i="2"/>
  <c r="B257" i="2"/>
  <c r="C256" i="2"/>
  <c r="B256" i="2"/>
  <c r="C255" i="2"/>
  <c r="B255" i="2"/>
  <c r="C254" i="2"/>
  <c r="B254" i="2"/>
  <c r="C253" i="2"/>
  <c r="B253" i="2"/>
  <c r="C252" i="2"/>
  <c r="B252" i="2"/>
  <c r="C251" i="2"/>
  <c r="B251" i="2"/>
  <c r="C250" i="2"/>
  <c r="B250" i="2"/>
  <c r="C249" i="2"/>
  <c r="B249" i="2"/>
  <c r="C248" i="2"/>
  <c r="B248" i="2"/>
  <c r="C247" i="2"/>
  <c r="B247" i="2"/>
  <c r="C246" i="2"/>
  <c r="B246" i="2"/>
  <c r="C245" i="2"/>
  <c r="B245" i="2"/>
  <c r="C244" i="2"/>
  <c r="B244" i="2"/>
  <c r="C243" i="2"/>
  <c r="B243" i="2"/>
  <c r="C242" i="2"/>
  <c r="B242" i="2"/>
  <c r="C241" i="2"/>
  <c r="B241" i="2"/>
  <c r="C240" i="2"/>
  <c r="B240" i="2"/>
  <c r="C239" i="2"/>
  <c r="B239" i="2"/>
  <c r="C238" i="2"/>
  <c r="B238" i="2"/>
  <c r="C237" i="2"/>
  <c r="B237" i="2"/>
  <c r="C236" i="2"/>
  <c r="B236" i="2"/>
  <c r="C235" i="2"/>
  <c r="B235" i="2"/>
  <c r="C234" i="2"/>
  <c r="B234" i="2"/>
  <c r="C233" i="2"/>
  <c r="B233" i="2"/>
  <c r="C232" i="2"/>
  <c r="B232" i="2"/>
  <c r="C231" i="2"/>
  <c r="B231" i="2"/>
  <c r="C230" i="2"/>
  <c r="B230" i="2"/>
  <c r="C229" i="2"/>
  <c r="B229" i="2"/>
  <c r="C228" i="2"/>
  <c r="B228" i="2"/>
  <c r="C227" i="2"/>
  <c r="B227" i="2"/>
  <c r="C226" i="2"/>
  <c r="B226" i="2"/>
  <c r="C225" i="2"/>
  <c r="B225" i="2"/>
  <c r="C224" i="2"/>
  <c r="B224" i="2"/>
  <c r="C223" i="2"/>
  <c r="B223" i="2"/>
  <c r="C222" i="2"/>
  <c r="B222" i="2"/>
  <c r="C221" i="2"/>
  <c r="B221" i="2"/>
  <c r="C220" i="2"/>
  <c r="B220" i="2"/>
  <c r="C219" i="2"/>
  <c r="B219" i="2"/>
  <c r="C218" i="2"/>
  <c r="B218" i="2"/>
  <c r="C217" i="2"/>
  <c r="B217" i="2"/>
  <c r="C216" i="2"/>
  <c r="B216" i="2"/>
  <c r="C215" i="2"/>
  <c r="B215" i="2"/>
  <c r="C214" i="2"/>
  <c r="B214" i="2"/>
  <c r="C213" i="2"/>
  <c r="B213" i="2"/>
  <c r="C212" i="2"/>
  <c r="B212" i="2"/>
  <c r="C211" i="2"/>
  <c r="B211" i="2"/>
  <c r="C210" i="2"/>
  <c r="B210" i="2"/>
  <c r="C209" i="2"/>
  <c r="B209" i="2"/>
  <c r="C208" i="2"/>
  <c r="B208" i="2"/>
  <c r="C207" i="2"/>
  <c r="B207" i="2"/>
  <c r="C206" i="2"/>
  <c r="B206" i="2"/>
  <c r="C205" i="2"/>
  <c r="B205" i="2"/>
  <c r="C204" i="2"/>
  <c r="B204" i="2"/>
  <c r="C203" i="2"/>
  <c r="B203" i="2"/>
  <c r="C202" i="2"/>
  <c r="B202" i="2"/>
  <c r="C201" i="2"/>
  <c r="B201" i="2"/>
  <c r="C200" i="2"/>
  <c r="B200" i="2"/>
  <c r="C199" i="2"/>
  <c r="B199" i="2"/>
  <c r="C198" i="2"/>
  <c r="B198" i="2"/>
  <c r="C197" i="2"/>
  <c r="B197" i="2"/>
  <c r="C196" i="2"/>
  <c r="B196" i="2"/>
  <c r="C195" i="2"/>
  <c r="B195" i="2"/>
  <c r="C194" i="2"/>
  <c r="B194" i="2"/>
  <c r="C193" i="2"/>
  <c r="B193" i="2"/>
  <c r="C192" i="2"/>
  <c r="B192" i="2"/>
  <c r="C191" i="2"/>
  <c r="B191" i="2"/>
  <c r="C190" i="2"/>
  <c r="B190" i="2"/>
  <c r="C189" i="2"/>
  <c r="B189" i="2"/>
  <c r="C188" i="2"/>
  <c r="B188" i="2"/>
  <c r="C187" i="2"/>
  <c r="B187" i="2"/>
  <c r="C186" i="2"/>
  <c r="B186" i="2"/>
  <c r="C185" i="2"/>
  <c r="B185" i="2"/>
  <c r="C184" i="2"/>
  <c r="B184" i="2"/>
  <c r="C183" i="2"/>
  <c r="B183" i="2"/>
  <c r="C182" i="2"/>
  <c r="B182" i="2"/>
  <c r="C181" i="2"/>
  <c r="B181" i="2"/>
  <c r="C180" i="2"/>
  <c r="B180" i="2"/>
  <c r="C179" i="2"/>
  <c r="B179" i="2"/>
  <c r="C178" i="2"/>
  <c r="B17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<sst xmlns="http://schemas.openxmlformats.org/spreadsheetml/2006/main" count="7732" uniqueCount="1275">
  <si>
    <t>State Policy Network Funding</t>
  </si>
  <si>
    <t>https://www.desmog.com/state-policy-network/</t>
  </si>
  <si>
    <t>Data Retrieved</t>
  </si>
  <si>
    <t>State Policy Network as Recipient</t>
  </si>
  <si>
    <t>Sum of contribution</t>
  </si>
  <si>
    <t>year</t>
  </si>
  <si>
    <t>donor_name</t>
  </si>
  <si>
    <t>Grand Total</t>
  </si>
  <si>
    <t>Resource URL</t>
  </si>
  <si>
    <t>DonorsTrust</t>
  </si>
  <si>
    <t>Donors Capital Fund</t>
  </si>
  <si>
    <t>Searle Freedom Trust</t>
  </si>
  <si>
    <t>Roe Foundation</t>
  </si>
  <si>
    <t>Walton Family Foundation</t>
  </si>
  <si>
    <t>Sarah Scaife Foundation</t>
  </si>
  <si>
    <t>Lynde and Harry Bradley Foundation</t>
  </si>
  <si>
    <t>Thomas W Smith Foundation</t>
  </si>
  <si>
    <t>Thirteen Foundation</t>
  </si>
  <si>
    <t>Fidelity Investments Charitable Gift Fund</t>
  </si>
  <si>
    <t>JM Foundation</t>
  </si>
  <si>
    <t>Jaquelin Hume Foundation</t>
  </si>
  <si>
    <t>Adolph Coors Foundation</t>
  </si>
  <si>
    <t>Diana Davis Spencer Foundation</t>
  </si>
  <si>
    <t>A P Kirby Jr Foundation</t>
  </si>
  <si>
    <t>Reams Foundation</t>
  </si>
  <si>
    <t>J P Humphreys Foundation</t>
  </si>
  <si>
    <t>John William Pope Foundation</t>
  </si>
  <si>
    <t>National Philanthropic Trust</t>
  </si>
  <si>
    <t>Milbank Foundation for Rehabilitation</t>
  </si>
  <si>
    <t>Dunn's Foundation for Advancement of Right Thinking</t>
  </si>
  <si>
    <t>Barney Family Foundation</t>
  </si>
  <si>
    <t>National Christian Charitable Foundation</t>
  </si>
  <si>
    <t>Challenge Foundation</t>
  </si>
  <si>
    <t>Armstrong Foundation</t>
  </si>
  <si>
    <t>Lovett and Ruth Peters Foundation</t>
  </si>
  <si>
    <t>Vanguard Charitable Endowment Program</t>
  </si>
  <si>
    <t>Schwab Charitable Fund</t>
  </si>
  <si>
    <t>Vernon K Krieble Foundation</t>
  </si>
  <si>
    <t>Grover Hermann Foundation</t>
  </si>
  <si>
    <t>Chase Foundation of Virginia</t>
  </si>
  <si>
    <t>Beth and Ravenel Curry Foundation</t>
  </si>
  <si>
    <t>William H Donner Foundation</t>
  </si>
  <si>
    <t>Lowndes Foundation</t>
  </si>
  <si>
    <t>John M Olin Foundation</t>
  </si>
  <si>
    <t>Barbara and Barre Seid Foundation</t>
  </si>
  <si>
    <t>Castle Rock Foundation</t>
  </si>
  <si>
    <t>State Policy Network</t>
  </si>
  <si>
    <t>Institute for Justice</t>
  </si>
  <si>
    <t>Dupage Community Foundation</t>
  </si>
  <si>
    <t>Woodford Foundation for Limited Government</t>
  </si>
  <si>
    <t>TWS Foundation</t>
  </si>
  <si>
    <t>Mercer Family Foundation</t>
  </si>
  <si>
    <t>Bradley Impact Fund</t>
  </si>
  <si>
    <t>Institute for Humane Studies</t>
  </si>
  <si>
    <t>PG Beil Foundation</t>
  </si>
  <si>
    <t>John E &amp; Sue M Jackson Charitable Trust</t>
  </si>
  <si>
    <t>Greater Houston Community Foundation</t>
  </si>
  <si>
    <t>Ken W Davis Foundation</t>
  </si>
  <si>
    <t>Farrell Family Foundation</t>
  </si>
  <si>
    <t>Charles G Koch Charitable Foundation</t>
  </si>
  <si>
    <t>PhRMA</t>
  </si>
  <si>
    <t>Ncta the Internet &amp; Television Association</t>
  </si>
  <si>
    <t>Rodney Fund</t>
  </si>
  <si>
    <t>GFC Foundation</t>
  </si>
  <si>
    <t>Foundation for Individual Liberty</t>
  </si>
  <si>
    <t>Edward A &amp; Catherine L Lozick Foundation</t>
  </si>
  <si>
    <t>Yarbrough Family Foundation</t>
  </si>
  <si>
    <t>TKBW Private Foundation</t>
  </si>
  <si>
    <t>William S &amp; Ann Atherton Foundation</t>
  </si>
  <si>
    <t>Robert P Rotella Foundation</t>
  </si>
  <si>
    <t>Jewish Communal Fund</t>
  </si>
  <si>
    <t>American Fuel and Petrochemical Manufacturers</t>
  </si>
  <si>
    <t>Ed Foundation</t>
  </si>
  <si>
    <t>Community Foundation of New Jersey</t>
  </si>
  <si>
    <t>C and A Johnson Family Foundation</t>
  </si>
  <si>
    <t>Claude R Lambe Charitable Foundation</t>
  </si>
  <si>
    <t>Robertson-Finley Foundation</t>
  </si>
  <si>
    <t>Morse Charitable Foundation</t>
  </si>
  <si>
    <t>Arizona State University Foundation for a New American University</t>
  </si>
  <si>
    <t>Offerdahl Family Foundation</t>
  </si>
  <si>
    <t>Seattle Foundation</t>
  </si>
  <si>
    <t>Edison Electric Institute</t>
  </si>
  <si>
    <t>Richard Horvitz and Erica Hartman Horvitz Foundation</t>
  </si>
  <si>
    <t>Melvin S Cohen Foundation</t>
  </si>
  <si>
    <t>Loren A Jahn Private Charitable</t>
  </si>
  <si>
    <t>Fred A Lennon Charitable Trust</t>
  </si>
  <si>
    <t>Beach Foundation</t>
  </si>
  <si>
    <t>Rising Phoenix Foundation</t>
  </si>
  <si>
    <t>Henderson Foundation</t>
  </si>
  <si>
    <t>Wodecroft Foundation</t>
  </si>
  <si>
    <t>People United for Privacy Foundation</t>
  </si>
  <si>
    <t>John Dawson Foundation</t>
  </si>
  <si>
    <t>Ed Uihlein Family Foundation</t>
  </si>
  <si>
    <t>Donovan Family Foundation</t>
  </si>
  <si>
    <t>Atlas Economic Research Foundation</t>
  </si>
  <si>
    <t>Dettmer Family Foundation</t>
  </si>
  <si>
    <t>Minneapolis Foundation</t>
  </si>
  <si>
    <t>Richard Seth Staley Educational Foundation</t>
  </si>
  <si>
    <t>Ewing Marion Kauffman Foundation</t>
  </si>
  <si>
    <t>Maine Community Foundation</t>
  </si>
  <si>
    <t>Charles Koch Institute</t>
  </si>
  <si>
    <t>New Hope Foundation</t>
  </si>
  <si>
    <t>James F Causley Jr Family Foundation</t>
  </si>
  <si>
    <t>Garvey Kansas Foundation</t>
  </si>
  <si>
    <t>American Endowment Foundation</t>
  </si>
  <si>
    <t>Sunmark Foundation</t>
  </si>
  <si>
    <t>Bailey Family Foundation</t>
  </si>
  <si>
    <t>Legett Foundation</t>
  </si>
  <si>
    <t>Kickapoo Springs Foundation</t>
  </si>
  <si>
    <t>Gogo Foundation</t>
  </si>
  <si>
    <t>Community Foundation of the Holland Zeeland Area</t>
  </si>
  <si>
    <t>Coalition for The New Economy</t>
  </si>
  <si>
    <t>Center for Growth and Opportunity</t>
  </si>
  <si>
    <t>Americans for Prosperity Foundation</t>
  </si>
  <si>
    <t>American Legislative Exchange Council</t>
  </si>
  <si>
    <t>Alta and John Franks Foundation</t>
  </si>
  <si>
    <t>Dodge Jones Foundation</t>
  </si>
  <si>
    <t>Constructive Management Foundation</t>
  </si>
  <si>
    <t>Philip M Friedmann Family Charitable Trust</t>
  </si>
  <si>
    <t>Eric Javits Family Foundation</t>
  </si>
  <si>
    <t>Tepper Family Foundation</t>
  </si>
  <si>
    <t>Policy Circle Co</t>
  </si>
  <si>
    <t>Sutton Family Foundation</t>
  </si>
  <si>
    <t>Hughes Family Foundation</t>
  </si>
  <si>
    <t>Warren B Galkin Foundation</t>
  </si>
  <si>
    <t>National Center for Housing Management</t>
  </si>
  <si>
    <t>MyWireless.org</t>
  </si>
  <si>
    <t>Lozick Family Foundation</t>
  </si>
  <si>
    <t>Greater Kansas City Community Foundation</t>
  </si>
  <si>
    <t>Friedman Foundation For Educational Choice</t>
  </si>
  <si>
    <t>Education Freedom Alliance</t>
  </si>
  <si>
    <t>Chiaroscuro Foundation</t>
  </si>
  <si>
    <t>John P and Kathryn G Evans Foundation</t>
  </si>
  <si>
    <t>McWethy Foundation</t>
  </si>
  <si>
    <t>Frankel Family Charitable Trust</t>
  </si>
  <si>
    <t>Bader Family Foundation</t>
  </si>
  <si>
    <t>Shepherds Hand</t>
  </si>
  <si>
    <t>Mercatus Center</t>
  </si>
  <si>
    <t>Government Accountability Alliance</t>
  </si>
  <si>
    <t>Acts 4 32 34</t>
  </si>
  <si>
    <t>Macdougal Family Foundation</t>
  </si>
  <si>
    <t>Aequus Institute</t>
  </si>
  <si>
    <t>Hayden Foundation</t>
  </si>
  <si>
    <t>Krasberg Mason Foundation</t>
  </si>
  <si>
    <t>Glacs Endowment Fund</t>
  </si>
  <si>
    <t>Deramus Foundation</t>
  </si>
  <si>
    <t>Alpaugh Foundation</t>
  </si>
  <si>
    <t>Jim Hicks Family Foundation</t>
  </si>
  <si>
    <t>Anna Paulina Foundation</t>
  </si>
  <si>
    <t>Crawford Family Foundation</t>
  </si>
  <si>
    <t>Red Bird Hollow Foundation</t>
  </si>
  <si>
    <t>Neal and Marlene Goldman Foundation</t>
  </si>
  <si>
    <t>Leonard and Joan Horvitz Foundation</t>
  </si>
  <si>
    <t>Krieble Foundation</t>
  </si>
  <si>
    <t>E L Craig Foundation</t>
  </si>
  <si>
    <t>Edward and Wilhelmina Ackerman Foundation</t>
  </si>
  <si>
    <t>Black Family Foundation</t>
  </si>
  <si>
    <t>Mcp Charitable Foundation</t>
  </si>
  <si>
    <t>Frank B and Virginia V Fehsenfeld Charitable Foundation</t>
  </si>
  <si>
    <t>Brian &amp; Joelle Kelly Family Foundation</t>
  </si>
  <si>
    <t>John J Creedon Foundation</t>
  </si>
  <si>
    <t>HTMF Foundation</t>
  </si>
  <si>
    <t>Catherine V and Martin Hofmann Foundation</t>
  </si>
  <si>
    <t>James E and Edith Margaret Brandon Foundation</t>
  </si>
  <si>
    <t>Stone Barrett Foundation</t>
  </si>
  <si>
    <t>Mark E &amp; Mary A Davis Foundation</t>
  </si>
  <si>
    <t>Kelly Family Foundation</t>
  </si>
  <si>
    <t>Galkin Private Foundation</t>
  </si>
  <si>
    <t>D M Schneider Foundation</t>
  </si>
  <si>
    <t>Paslaqua Charitable Foundation</t>
  </si>
  <si>
    <t>W Russell and Patricia Davis Duke Foundation</t>
  </si>
  <si>
    <t>Gordon R Connor Charitable Foundation</t>
  </si>
  <si>
    <t>Gilroy and Lillian P Roberts Charitable Foundation</t>
  </si>
  <si>
    <t>Amaturo Family Foundation</t>
  </si>
  <si>
    <t>Thomas B Fordham Foundation</t>
  </si>
  <si>
    <t>Susquehanna Foundation</t>
  </si>
  <si>
    <t>Snider Foundation</t>
  </si>
  <si>
    <t>Scott Family Foundation</t>
  </si>
  <si>
    <t>Ron and Susan Krump Foundation</t>
  </si>
  <si>
    <t>Riklin Charitable Trust</t>
  </si>
  <si>
    <t>Richard M Allen Charitable Trust</t>
  </si>
  <si>
    <t>Oshay Family Foundation</t>
  </si>
  <si>
    <t>Old Stones Foundation</t>
  </si>
  <si>
    <t>Oda Family Charitable Foundation</t>
  </si>
  <si>
    <t>Holmes Family Foundation</t>
  </si>
  <si>
    <t>Florence and Gordon Holland Family Foundation</t>
  </si>
  <si>
    <t>Farmer Family Foundation</t>
  </si>
  <si>
    <t>David R and Rachel R Eidelman Family Foundation</t>
  </si>
  <si>
    <t>Chiavacci Family Foundation</t>
  </si>
  <si>
    <t>Center for Independent Employees</t>
  </si>
  <si>
    <t>C &amp; N Foundation</t>
  </si>
  <si>
    <t>Ralph A Loveys Family Charitable Foundation</t>
  </si>
  <si>
    <t>Bodman Foundation</t>
  </si>
  <si>
    <t>Lauring Charitable Foundation</t>
  </si>
  <si>
    <t>Donald L &amp; Valerie D Gottschalk Foundation</t>
  </si>
  <si>
    <t>Ge Foundation</t>
  </si>
  <si>
    <t>Shell Oil Company Foundation</t>
  </si>
  <si>
    <t>Oxford Area Foundation</t>
  </si>
  <si>
    <t>Marguerite A Scribante Foundation</t>
  </si>
  <si>
    <t>Keller Family Charitable Trust</t>
  </si>
  <si>
    <t>J W Schippmann Foundation</t>
  </si>
  <si>
    <t>G A F Foundation</t>
  </si>
  <si>
    <t>Earl W and Hildagunda A Brinkman Private Charitable Foundation</t>
  </si>
  <si>
    <t>Caridad Corporation</t>
  </si>
  <si>
    <t>Americans for Tax Reform Foundation</t>
  </si>
  <si>
    <t>Al &amp; Peggy Dematteis Family Foundation</t>
  </si>
  <si>
    <t>John W and Wanda W Wirtz Charitable Foundation</t>
  </si>
  <si>
    <t>H and R Peters Family Foundation</t>
  </si>
  <si>
    <t>William E Chelew Foundation</t>
  </si>
  <si>
    <t>Bank of America Charitable Foundation</t>
  </si>
  <si>
    <t>Strauss Foundation Incorporated</t>
  </si>
  <si>
    <t>Short Family Foundation</t>
  </si>
  <si>
    <t>Rhonda Fleming Foundation</t>
  </si>
  <si>
    <t>Quaker City</t>
  </si>
  <si>
    <t>Patricia M and Robert H Martinsen Foundation</t>
  </si>
  <si>
    <t>Culpepper Family Foundation</t>
  </si>
  <si>
    <t>Alton Family Foundation</t>
  </si>
  <si>
    <t>Ralph and Linda Kaffel Charitable Foundation</t>
  </si>
  <si>
    <t>L &amp; J Goldrich Foundation</t>
  </si>
  <si>
    <t>Bane Foundation</t>
  </si>
  <si>
    <t>Roemisch Family Foundation</t>
  </si>
  <si>
    <t>Arthur L &amp; Lily D Walters Foundation</t>
  </si>
  <si>
    <t>Sander Foundation</t>
  </si>
  <si>
    <t>Pfizer Foundation</t>
  </si>
  <si>
    <t>Norman I and Sandra Rich Family Charitable Foundation</t>
  </si>
  <si>
    <t>Lawrence and Sandra Post Family Foundation</t>
  </si>
  <si>
    <t>Irving Rothlein Foundation</t>
  </si>
  <si>
    <t>Hardie Family Foundation</t>
  </si>
  <si>
    <t>Fred and Gertrude Perlberg Foundation</t>
  </si>
  <si>
    <t>Briggs Foundation</t>
  </si>
  <si>
    <t>Prudential Foundation</t>
  </si>
  <si>
    <t>State Policy Network as Donor</t>
  </si>
  <si>
    <t>recipient_name</t>
  </si>
  <si>
    <t>1816 Institute</t>
  </si>
  <si>
    <t>Advance Arkansas Institute</t>
  </si>
  <si>
    <t>Alabama Policy Institute</t>
  </si>
  <si>
    <t>Alaska Policy Forum</t>
  </si>
  <si>
    <t>America's Future Foundation</t>
  </si>
  <si>
    <t>American Culture Foundation / Great Communicators Foundation</t>
  </si>
  <si>
    <t>American Phoenix Foundation</t>
  </si>
  <si>
    <t>American Public Servants Charitable Foundation</t>
  </si>
  <si>
    <t>American Transparency</t>
  </si>
  <si>
    <t>Americans for Fair Treatment</t>
  </si>
  <si>
    <t>Arkanansas Policy Foundation</t>
  </si>
  <si>
    <t>Arkansas Policy Foundation</t>
  </si>
  <si>
    <t>Association of American Educators Foundation</t>
  </si>
  <si>
    <t>Asu Prep Global Academy</t>
  </si>
  <si>
    <t>Badger Institute</t>
  </si>
  <si>
    <t>Ballotpedia Inc</t>
  </si>
  <si>
    <t>Beacon Center of Tennessee</t>
  </si>
  <si>
    <t>Beacon Hill Institute</t>
  </si>
  <si>
    <t>Bluegrass Institute for Public Policy Solutions</t>
  </si>
  <si>
    <t>Buckeye Institute for Public Policy Solutions</t>
  </si>
  <si>
    <t>Caesar Rodney Institute</t>
  </si>
  <si>
    <t>California Policy Center</t>
  </si>
  <si>
    <t>Cardinal Institute for West Virginia Policy</t>
  </si>
  <si>
    <t>Cascade Policy Institute</t>
  </si>
  <si>
    <t>Center for Constitutional Law</t>
  </si>
  <si>
    <t>Center for Law and Policy</t>
  </si>
  <si>
    <t>Center of the American Experiment</t>
  </si>
  <si>
    <t>Civitas Institute</t>
  </si>
  <si>
    <t>Common Sense Institute of New Jersey</t>
  </si>
  <si>
    <t>Commonwealth Foundation for Public Policy Alternatives</t>
  </si>
  <si>
    <t>DC Progress</t>
  </si>
  <si>
    <t>Empire Center for Public Policy</t>
  </si>
  <si>
    <t>Empower Mississippi Foundation</t>
  </si>
  <si>
    <t>Ethan Allen Institute</t>
  </si>
  <si>
    <t>Everglades Legal Foundation</t>
  </si>
  <si>
    <t>Evergreen Freedom Foundation</t>
  </si>
  <si>
    <t>First Freedom Foundation of South Dakota</t>
  </si>
  <si>
    <t>Flint Hills Center For Public Policy</t>
  </si>
  <si>
    <t>Foundation for Government Accountability</t>
  </si>
  <si>
    <t>Franklin Center for Government and Public Integrity</t>
  </si>
  <si>
    <t>Freedom Foundation of Minnesota</t>
  </si>
  <si>
    <t>Garden State Initiative</t>
  </si>
  <si>
    <t>Georgia Center for Opportunity</t>
  </si>
  <si>
    <t>Georgia Family Council</t>
  </si>
  <si>
    <t>Georgia Public Policy Foundation</t>
  </si>
  <si>
    <t>Goldwater Institute for Public Policy</t>
  </si>
  <si>
    <t>Grassroot Institute of Hawaii</t>
  </si>
  <si>
    <t>Grassroots Institute of Hawaii</t>
  </si>
  <si>
    <t>Great American Foundation American Culture Foundation</t>
  </si>
  <si>
    <t>Great Plains Public Policy Institute</t>
  </si>
  <si>
    <t>Greathearts Foundation</t>
  </si>
  <si>
    <t>Hearts of Empowerment Inc</t>
  </si>
  <si>
    <t>Idaho Freedom Foundation</t>
  </si>
  <si>
    <t>Illinois Policy Institute</t>
  </si>
  <si>
    <t>Independence Institute</t>
  </si>
  <si>
    <t>Inspired Life Inc</t>
  </si>
  <si>
    <t>Institute for Reforming Government</t>
  </si>
  <si>
    <t>Iowans for Tax Relief Foundation</t>
  </si>
  <si>
    <t>James Madison Institute</t>
  </si>
  <si>
    <t>John Locke Foundation</t>
  </si>
  <si>
    <t>John W Pope Civitas Institute</t>
  </si>
  <si>
    <t>Josiah Bartlett Center for Public Policy</t>
  </si>
  <si>
    <t>Kansas Policy Institute</t>
  </si>
  <si>
    <t>Libertas Institute</t>
  </si>
  <si>
    <t>Liberty Foundation</t>
  </si>
  <si>
    <t>Liberty Justice Center</t>
  </si>
  <si>
    <t>Liberty on the Rocks</t>
  </si>
  <si>
    <t>Louisiana Family Forum</t>
  </si>
  <si>
    <t>Lucy Burns Institute</t>
  </si>
  <si>
    <t>Maciver Institute</t>
  </si>
  <si>
    <t>Mackinac Center for Public Policy</t>
  </si>
  <si>
    <t>Maclver Institute</t>
  </si>
  <si>
    <t>Maine Heritage Policy Center</t>
  </si>
  <si>
    <t>Maine Policy Institute</t>
  </si>
  <si>
    <t>Manhattan Institute for Policy Research</t>
  </si>
  <si>
    <t>Maryland Public Policy Institute</t>
  </si>
  <si>
    <t>Mississippi Center for Public Policy</t>
  </si>
  <si>
    <t>Montana Policy Institute</t>
  </si>
  <si>
    <t>Nevada Action for School Options</t>
  </si>
  <si>
    <t>Nevada Policy Research Institute</t>
  </si>
  <si>
    <t>North Dakota Policy institute</t>
  </si>
  <si>
    <t>Ocean State Policy Research</t>
  </si>
  <si>
    <t>Oklahoma Council of Public Affairs</t>
  </si>
  <si>
    <t>Open Government Institute of California</t>
  </si>
  <si>
    <t>Operation Geek Farm</t>
  </si>
  <si>
    <t>Opportunity Arkansas</t>
  </si>
  <si>
    <t>Opportunity Ohio</t>
  </si>
  <si>
    <t>Oregon Capital Watch Fund</t>
  </si>
  <si>
    <t>Pacific Research Institute</t>
  </si>
  <si>
    <t>Palmetto Promise Institute</t>
  </si>
  <si>
    <t>Pelican Institute</t>
  </si>
  <si>
    <t>Pelican Institute for Public Policy</t>
  </si>
  <si>
    <t>Pioneer Institute for Public Policy Research</t>
  </si>
  <si>
    <t>Platte Institute for Economic Research</t>
  </si>
  <si>
    <t>Public Interest Institute</t>
  </si>
  <si>
    <t>Public Policy Foundation of West Virginia</t>
  </si>
  <si>
    <t>Reschool</t>
  </si>
  <si>
    <t>Rhode Island Center for Freedom and Prosperity</t>
  </si>
  <si>
    <t>Rio Grande Foundation</t>
  </si>
  <si>
    <t>Show-Me Institute</t>
  </si>
  <si>
    <t>Solutions for New Jersey</t>
  </si>
  <si>
    <t>South Carolina Policy Council</t>
  </si>
  <si>
    <t>Spark Freedom</t>
  </si>
  <si>
    <t>State Budget Solutions</t>
  </si>
  <si>
    <t>Sutherland Institute</t>
  </si>
  <si>
    <t>Talent Market</t>
  </si>
  <si>
    <t>Tax Education Foundation Iowa</t>
  </si>
  <si>
    <t>Tennessee Center for Policy Research</t>
  </si>
  <si>
    <t>Texas Conservative Coalition</t>
  </si>
  <si>
    <t>Texas Public Policy Foundation</t>
  </si>
  <si>
    <t>Texas Watchdog</t>
  </si>
  <si>
    <t>Thomas Jefferson Institute</t>
  </si>
  <si>
    <t>TNReportcom News Services</t>
  </si>
  <si>
    <t>True The Vote</t>
  </si>
  <si>
    <t>Virginia Institute for Public Policy</t>
  </si>
  <si>
    <t>Washington Policy Center</t>
  </si>
  <si>
    <t>Where's The Line</t>
  </si>
  <si>
    <t>Wisconsin Institute for Law &amp; Liberty</t>
  </si>
  <si>
    <t>Wisconsin Policy Research Institute</t>
  </si>
  <si>
    <t>Wyoming Liberty Group</t>
  </si>
  <si>
    <t>Wyoming Policy Institute</t>
  </si>
  <si>
    <t>Yankee Institute for Public Policy</t>
  </si>
  <si>
    <t>data_source</t>
  </si>
  <si>
    <t>transaction_id</t>
  </si>
  <si>
    <t>donor_year</t>
  </si>
  <si>
    <t>contribution</t>
  </si>
  <si>
    <t>verified</t>
  </si>
  <si>
    <t>notes</t>
  </si>
  <si>
    <t>added</t>
  </si>
  <si>
    <t>https://projects.propublica.org/nonprofits/organizations/262413863/202301309349104095/IRS990PF</t>
  </si>
  <si>
    <t>https://projects.propublica.org/nonprofits/organizations/262413863/202211329349104556/IRS990PF</t>
  </si>
  <si>
    <t>https://projects.propublica.org/nonprofits/organizations/262413863/202112799349100311/IRS990PF</t>
  </si>
  <si>
    <t>https://projects.propublica.org/nonprofits/organizations/262413863/202021889349100412/IRS990PF</t>
  </si>
  <si>
    <t>https://projects.propublica.org/nonprofits/organizations/262413863/201941359349100989/IRS990PF</t>
  </si>
  <si>
    <t>https://projects.propublica.org/nonprofits/organizations/262413863/201801349349103185/IRS990PF</t>
  </si>
  <si>
    <t>CT2017</t>
  </si>
  <si>
    <t>CT2016</t>
  </si>
  <si>
    <t>https://projects.propublica.org/nonprofits/organizations/113052224/202221199349102012/IRS990PF</t>
  </si>
  <si>
    <t>$ value unreadable</t>
  </si>
  <si>
    <t>https://projects.propublica.org/nonprofits/organizations/237422163/202223059349100937/IRS990PF</t>
  </si>
  <si>
    <t>https://projects.propublica.org/nonprofits/organizations/237422163/202141759349100414/IRS990PF</t>
  </si>
  <si>
    <t>https://projects.propublica.org/nonprofits/display_990/237422163/10_2020_prefixes_23-26%2F237422163_201912_990PR_2020102017391133</t>
  </si>
  <si>
    <t>https://projects.propublica.org/nonprofits/organizations/263909838/202221719349100752/IRS990PF</t>
  </si>
  <si>
    <t>https://projects.propublica.org/nonprofits/organizations/592718130/202201369349102910/IRS990PF</t>
  </si>
  <si>
    <t>https://projects.propublica.org/nonprofits/organizations/592718130/202101379349100615/IRS990PF</t>
  </si>
  <si>
    <t>https://projects.propublica.org/nonprofits/display_990/592718130/12_2020_prefixes_54-63%2F592718130_201906_990PF_2020120117459741</t>
  </si>
  <si>
    <t>https://projects.propublica.org/nonprofits/display_990/592718130/IRS%2F592718130_201706_990PF_2017090514700186</t>
  </si>
  <si>
    <t>https://projects.propublica.org/nonprofits/display_990/592718130/2016_11_PF%2F59-2718130_990PF_201606</t>
  </si>
  <si>
    <t>https://projects.propublica.org/nonprofits/display_990/592718130/2015_02_PF%2F59-2718130_990PF_201406</t>
  </si>
  <si>
    <t>https://projects.propublica.org/nonprofits/display_990/592718130/2013_11_PF%2F59-2718130_990PF_201306</t>
  </si>
  <si>
    <t>https://projects.propublica.org/nonprofits/organizations/341747398/202222949349301137/IRS990ScheduleI</t>
  </si>
  <si>
    <t>https://projects.propublica.org/nonprofits/organizations/341747398/201923179349302672/IRS990ScheduleI</t>
  </si>
  <si>
    <t>https://projects.propublica.org/nonprofits/display_990/341747398/2016_09_EO%2F34-1747398_990_201512</t>
  </si>
  <si>
    <t>https://projects.propublica.org/nonprofits/organizations/386061335/201801439349100600/IRS990PF</t>
  </si>
  <si>
    <t>https://projects.propublica.org/nonprofits/display_990/386061335/2011_05_PF%2F38-6061335_990PF_201012</t>
  </si>
  <si>
    <t>https://projects.propublica.org/nonprofits/organizations/866051042/202003219349321135/IRS990ScheduleI</t>
  </si>
  <si>
    <t>https://projects.propublica.org/nonprofits/organizations/800111331/201640779349100104/IRS990PF</t>
  </si>
  <si>
    <t>https://projects.propublica.org/nonprofits/redirect_to_990/593154364/2011</t>
  </si>
  <si>
    <t>https://projects.propublica.org/nonprofits/organizations/541716303/202022729349100612/IRS990PF</t>
  </si>
  <si>
    <t>https://projects.propublica.org/nonprofits/organizations/200721133/202131479349100003/IRS990PF</t>
  </si>
  <si>
    <t>https://projects.propublica.org/nonprofits/download-xml?object_id=202131479349100003</t>
  </si>
  <si>
    <t>https://projects.propublica.org/nonprofits/organizations/200721133/201811359349103516/IRS990PF</t>
  </si>
  <si>
    <t>https://projects.propublica.org/nonprofits/organizations/200721133/201621349349102037/IRS990PF</t>
  </si>
  <si>
    <t>https://projects.propublica.org/nonprofits/organizations/232897351/202203199349107210/IRS990PF</t>
  </si>
  <si>
    <t>https://projects.propublica.org/nonprofits/organizations/232897351/202220459349101407/IRS990PF</t>
  </si>
  <si>
    <t>https://projects.propublica.org/nonprofits/organizations/237411083/202331989349100233/IRS990PF</t>
  </si>
  <si>
    <t>https://projects.propublica.org/nonprofits/organizations/251705824/201533169349101348/IRS990PF</t>
  </si>
  <si>
    <t>https://projects.propublica.org/nonprofits/organizations/266139249/202223139349102357/IRS990PF</t>
  </si>
  <si>
    <t>https://projects.propublica.org/nonprofits/organizations/266139249/201742629349100609/IRS990PF</t>
  </si>
  <si>
    <t>https://projects.propublica.org/nonprofits/redirect_to_990/266139249/2012</t>
  </si>
  <si>
    <t>https://projects.propublica.org/nonprofits/display_990/266139249/2012_05_PF%2F26-6139249_990PF_201112</t>
  </si>
  <si>
    <t>https://projects.propublica.org/nonprofits/organizations/207006437/202001919349100240/IRS990PF</t>
  </si>
  <si>
    <t>https://projects.propublica.org/nonprofits/organizations/382746657/201731739349100313/IRS990PF</t>
  </si>
  <si>
    <t>https://projects.propublica.org/nonprofits/organizations/382746657/201632039349100023/IRS990PF</t>
  </si>
  <si>
    <t>https://projects.propublica.org/nonprofits/organizations/474003028/202301159349100530/IRS990PF</t>
  </si>
  <si>
    <t>https://projects.propublica.org/nonprofits/organizations/474003028/202200899349100220/IRS990PF</t>
  </si>
  <si>
    <t>https://projects.propublica.org/nonprofits/organizations/474003028/202101039349100830/IRS990PF</t>
  </si>
  <si>
    <t>https://projects.propublica.org/nonprofits/display_990/474003028/04_2021_prefixes_47-47%2F474003028_201912_990PF_2021041017919021</t>
  </si>
  <si>
    <t>https://projects.propublica.org/nonprofits/display_990/474003028/10_2019_prefixes_47-51%2F474003028_201812_990PF_2019100816727955</t>
  </si>
  <si>
    <t>https://projects.propublica.org/nonprofits/organizations/363505813/202241339349100449/full</t>
  </si>
  <si>
    <t>https://projects.propublica.org/nonprofits/organizations/260005176/201611379349308121/IRS990</t>
  </si>
  <si>
    <t>https://projects.propublica.org/nonprofits/organizations/581817816/202243079349100504/IRS990PF</t>
  </si>
  <si>
    <t>https://projects.propublica.org/nonprofits/organizations/581817816/202143199349107664/IRS990PF</t>
  </si>
  <si>
    <t>https://projects.propublica.org/nonprofits/organizations/581817816/202043219349105804/IRS990PF</t>
  </si>
  <si>
    <t>https://projects.propublica.org/nonprofits/organizations/581817816/201923199349105232/IRS990PF</t>
  </si>
  <si>
    <t>https://projects.propublica.org/nonprofits/organizations/222281783/202203139349302135/IRS990ScheduleI</t>
  </si>
  <si>
    <t>https://projects.propublica.org/nonprofits/organizations/222281783/202142999349301249/IRS990ScheduleI</t>
  </si>
  <si>
    <t>https://projects.propublica.org/nonprofits/organizations/386095283/202233159349305993/IRS990ScheduleI</t>
  </si>
  <si>
    <t>https://projects.propublica.org/nonprofits/organizations/50438672/202241309349102544/IRS990PF</t>
  </si>
  <si>
    <t>https://projects.propublica.org/nonprofits/organizations/50438672/202101319349102205/IRS990PF</t>
  </si>
  <si>
    <t>https://projects.propublica.org/nonprofits/organizations/50438672/201931969349100513/IRS990PF</t>
  </si>
  <si>
    <t>https://projects.propublica.org/nonprofits/organizations/50438672/201831319349101528/IRS990PF</t>
  </si>
  <si>
    <t>https://projects.propublica.org/nonprofits/organizations/50438672/201701419349100200/IRS990PF</t>
  </si>
  <si>
    <t>https://projects.propublica.org/nonprofits/display_990/50438672/2005_06_PF%2F05-0438672_990PF_200412</t>
  </si>
  <si>
    <t>https://projects.propublica.org/nonprofits/display_990/50438672/2003_06_PF%2F05-0438672_990PF_200212</t>
  </si>
  <si>
    <t>https://projects.propublica.org/nonprofits/display_990/50438672/2002_07_PF%2F05-0438672_990PF_200112</t>
  </si>
  <si>
    <t>https://projects.propublica.org/nonprofits/organizations/270858822/201920879349100327/IRS990PF</t>
  </si>
  <si>
    <t>https://projects.propublica.org/nonprofits/organizations/270858822/201831989349100323/IRS990PF</t>
  </si>
  <si>
    <t>https://projects.propublica.org/nonprofits/organizations/270858822/201721329349101402/IRS990PF</t>
  </si>
  <si>
    <t>https://projects.propublica.org/nonprofits/organizations/270858822/201620919349100822/IRS990PF</t>
  </si>
  <si>
    <t>https://projects.propublica.org/nonprofits/organizations/270858822/201511329349102846/IRS990PF</t>
  </si>
  <si>
    <t>https://projects.propublica.org/nonprofits/organizations/270858822/201421359349102177/IRS990PF</t>
  </si>
  <si>
    <t>https://projects.propublica.org/nonprofits/redirect_to_990/270858822/2012</t>
  </si>
  <si>
    <t>https://projects.propublica.org/nonprofits/organizations/352062881/202243199349101009/IRS990PF</t>
  </si>
  <si>
    <t>https://projects.propublica.org/nonprofits/organizations/341866961/202341459349100409/IRS990PF</t>
  </si>
  <si>
    <t>https://projects.propublica.org/nonprofits/organizations/341866961/202201339349100930/IRS990PF</t>
  </si>
  <si>
    <t>https://projects.propublica.org/nonprofits/organizations/341866961/202121359349100042/IRS990PF</t>
  </si>
  <si>
    <t>https://projects.propublica.org/nonprofits/organizations/200801237/201911349349104196/IRS990PF</t>
  </si>
  <si>
    <t>https://projects.propublica.org/nonprofits/organizations/137267343/202311639349100706/IRS990PF</t>
  </si>
  <si>
    <t>https://projects.propublica.org/nonprofits/organizations/137267343/202231319349100708/IRS990PF</t>
  </si>
  <si>
    <t>https://projects.propublica.org/nonprofits/organizations/137267343/202141259349103614/IRS990PF</t>
  </si>
  <si>
    <t>https://projects.propublica.org/nonprofits/display_990/137267343/02_2021_prefixes_13-20%2F137267343_201912_990PF_2021021217705392</t>
  </si>
  <si>
    <t>https://projects.propublica.org/nonprofits/display_990/137267343/06_2019_prefixes_06-16%2F137267343_201812_990PF_2019061016397931</t>
  </si>
  <si>
    <t>https://projects.propublica.org/nonprofits/display_990/137267343/2017_05_PF%2F13-7267343_990PF_201612</t>
  </si>
  <si>
    <t>https://projects.propublica.org/nonprofits/display_990/137267343/2016_05_PF%2F13-7267343_990PF_201512</t>
  </si>
  <si>
    <t>https://projects.propublica.org/nonprofits/display_990/137267343/2015_05_PF%2F13-7267343_990PF_201412</t>
  </si>
  <si>
    <t>https://projects.propublica.org/nonprofits/organizations/391686976/202331009349100533/IRS990PF</t>
  </si>
  <si>
    <t>https://projects.propublica.org/nonprofits/organizations/391686976/202200959349100105/IRS990PF</t>
  </si>
  <si>
    <t>https://projects.propublica.org/nonprofits/organizations/391686976/202130969349100318/IRS990PF</t>
  </si>
  <si>
    <t>https://projects.propublica.org/nonprofits/display_990/391686976/10_2020_prefixes_38-41%2F391686976_201912_990PR_2020102017391290</t>
  </si>
  <si>
    <t>https://projects.propublica.org/nonprofits/display_990/391686976/06_2019_prefixes_39-45%2F391686976_201812_990PF_2019062016430903</t>
  </si>
  <si>
    <t>https://www.documentcloud.org/documents/24171031-donorstrust-2022-990</t>
  </si>
  <si>
    <t>https://projects.propublica.org/nonprofits/organizations/367463172/202301319349102695/IRS990PF</t>
  </si>
  <si>
    <t>https://projects.propublica.org/nonprofits/organizations/367463172/202211329349101411/IRS990PF</t>
  </si>
  <si>
    <t>https://projects.propublica.org/nonprofits/organizations/367463172/202111319349100001/IRS990PF</t>
  </si>
  <si>
    <t>https://projects.propublica.org/nonprofits/display_990/367463172/09_2019_prefixes_34-37%2F367463172_201812_990PF_2019091816663666</t>
  </si>
  <si>
    <t>https://projects.propublica.org/nonprofits/organizations/363978733/202013499349301306/IRS990ScheduleI</t>
  </si>
  <si>
    <t>https://projects.propublica.org/nonprofits/organizations/363978733/201923579349300407/IRS990ScheduleI</t>
  </si>
  <si>
    <t>https://projects.propublica.org/nonprofits/organizations/363978733/201703529349300385/IRS990ScheduleI</t>
  </si>
  <si>
    <t>https://projects.propublica.org/nonprofits/organizations/223038088/202310389349100206/IRS990PF</t>
  </si>
  <si>
    <t>https://projects.propublica.org/nonprofits/organizations/462829206/201911429349300341/IRS990ScheduleI</t>
  </si>
  <si>
    <t>https://projects.propublica.org/nonprofits/organizations/341386776/202233199349102178/IRS990PF</t>
  </si>
  <si>
    <t>https://projects.propublica.org/nonprofits/organizations/341386776/202133199349106068/IRS990PF</t>
  </si>
  <si>
    <t>https://projects.propublica.org/nonprofits/display_990/341386776/02_2021_prefixes_31-34%2F341386776_201912_990PF_2021022617759431</t>
  </si>
  <si>
    <t>https://projects.propublica.org/nonprofits/organizations/752681488/201703149349100600/IRS990PF</t>
  </si>
  <si>
    <t>https://projects.propublica.org/nonprofits/display_990/752681488/2016_05_PF%2F75-2681488_990PF_201512</t>
  </si>
  <si>
    <t>https://projects.propublica.org/nonprofits/display_990/752681488/2015_05_PF%2F75-2681488_990PF_201412</t>
  </si>
  <si>
    <t>https://projects.propublica.org/nonprofits/display_990/752681488/2014_05_PF%2F75-2681488_990PF_201312</t>
  </si>
  <si>
    <t>https://projects.propublica.org/nonprofits/organizations/136125334/202331709349100213/IRS990PF</t>
  </si>
  <si>
    <t>https://projects.propublica.org/nonprofits/organizations/436064859/201813189349103206/IRS990PF</t>
  </si>
  <si>
    <t>https://projects.propublica.org/nonprofits/organizations/262261897/201921509349100872/IRS990PF</t>
  </si>
  <si>
    <t>https://projects.propublica.org/nonprofits/organizations/912167530/202233139349102033/IRS990PF</t>
  </si>
  <si>
    <t>https://projects.propublica.org/nonprofits/organizations/912167530/202123149349102587/IRS990PF</t>
  </si>
  <si>
    <t>https://projects.propublica.org/nonprofits/display_990/912167530/download990pdf_10_2021_prefixes_84-99%2F912167530_201912_990PF_2021102019108317</t>
  </si>
  <si>
    <t>https://projects.propublica.org/nonprofits/display_990/912167530/IRS%2F912167530_201612_990PF_2017060514494065</t>
  </si>
  <si>
    <t>https://projects.propublica.org/nonprofits/display_990/912167530/2016_06_PF%2F91-2167530_990PF_201512</t>
  </si>
  <si>
    <t>https://projects.propublica.org/nonprofits/display_990/912167530/2014_05_PF%2F91-2167530_990PF_201312</t>
  </si>
  <si>
    <t>https://projects.propublica.org/nonprofits/organizations/110303001/202321309349304807/IRS990ScheduleI</t>
  </si>
  <si>
    <t>https://projects.propublica.org/nonprofits/organizations/110303001/202221339349302787/IRS990ScheduleI</t>
  </si>
  <si>
    <t>https://projects.propublica.org/nonprofits/organizations/110303001/202121359349300427/IRS990ScheduleI</t>
  </si>
  <si>
    <t>https://projects.propublica.org/nonprofits/organizations/110303001/202041789349301474/IRS990ScheduleI</t>
  </si>
  <si>
    <t>https://projects.propublica.org/nonprofits/organizations/110303001/201931359349301478/IRS990ScheduleI</t>
  </si>
  <si>
    <t>https://projects.propublica.org/nonprofits/organizations/731576866/202243189349104409/IRS990PF</t>
  </si>
  <si>
    <t>https://projects.propublica.org/nonprofits/organizations/731576866/202102649349100705/IRS990PF</t>
  </si>
  <si>
    <t>text of $ amount unreadable</t>
  </si>
  <si>
    <t>https://projects.propublica.org/nonprofits/organizations/367347911/202212409349100251/IRS990PF</t>
  </si>
  <si>
    <t>https://projects.propublica.org/nonprofits/organizations/367347911/202113199349100646/IRS990PF</t>
  </si>
  <si>
    <t>https://projects.propublica.org/nonprofits/organizations/367347911/202033179349102958/IRS990PF</t>
  </si>
  <si>
    <t>https://projects.propublica.org/nonprofits/organizations/367347911/201933199349100823/IRS990PF</t>
  </si>
  <si>
    <t>https://projects.propublica.org/nonprofits/organizations/367347911/201832079349100613/IRS990PF</t>
  </si>
  <si>
    <t>https://projects.propublica.org/nonprofits/organizations/341761181/202203199349102280/IRS990PF</t>
  </si>
  <si>
    <t>https://projects.propublica.org/nonprofits/organizations/341761181/202113199349105376/IRS990PF</t>
  </si>
  <si>
    <t>https://projects.propublica.org/nonprofits/display_990/341761181/2014_11_PF%2F34-1761181_990PF_201312</t>
  </si>
  <si>
    <t>https://projects.propublica.org/nonprofits/display_990/341761181/2013_11_PF%2F34-1761181_990PF_201212</t>
  </si>
  <si>
    <t>https://projects.propublica.org/nonprofits/organizations/136100032/201512729349100001/IRS990PF</t>
  </si>
  <si>
    <t>https://projects.propublica.org/nonprofits/redirect_to_990/346881707/2011</t>
  </si>
  <si>
    <t>https://projects.propublica.org/nonprofits/organizations/50494243/201943109349100404/IRS990PF</t>
  </si>
  <si>
    <t>https://projects.propublica.org/nonprofits/organizations/222621967/202133099349100763/IRS990PF</t>
  </si>
  <si>
    <t>https://projects.propublica.org/nonprofits/organizations/870529248/201800469349100530/IRS990PF</t>
  </si>
  <si>
    <t>https://projects.propublica.org/nonprofits/organizations/870529248/201610489349100406/IRS990PF</t>
  </si>
  <si>
    <t>https://projects.propublica.org/nonprofits/organizations/870529248/201500379349100700/IRS990PF</t>
  </si>
  <si>
    <t>https://projects.propublica.org/nonprofits/display_990/870529248/2013_11_PF%2F87-0529248_990PF_201306</t>
  </si>
  <si>
    <t>https://projects.propublica.org/nonprofits/display_990/870529248/2012_11_PF%2F87-0529248_990PF_201206</t>
  </si>
  <si>
    <t>https://projects.propublica.org/nonprofits/display_990/870529248/2011_11_PF%2F87-0529248_990PF_201106</t>
  </si>
  <si>
    <t>https://projects.propublica.org/nonprofits/display_990/870529248/2011_01_PF%2F87-0529248_990PF_201006</t>
  </si>
  <si>
    <t>https://projects.propublica.org/nonprofits/display_990/870529248/2009_02_PF%2F87-0529248_990PF_200806</t>
  </si>
  <si>
    <t>https://projects.propublica.org/nonprofits/display_990/870529248/2005_11_PF%2F87-0529248_990PF_200506</t>
  </si>
  <si>
    <t>https://projects.propublica.org/nonprofits/display_990/870529248/2002_09_PF%2F87-0529248_990PF_200206</t>
  </si>
  <si>
    <t>https://projects.propublica.org/nonprofits/organizations/232219044/202143199349102654/IRS990PF</t>
  </si>
  <si>
    <t>https://projects.propublica.org/nonprofits/display_990/232219044/download990pdf_11_2021_prefixes_20-27%2F232219044_202006_990PF_2021110219123510</t>
  </si>
  <si>
    <t>https://projects.propublica.org/nonprofits/display_990/232219044/10_2019_prefixes_22-23%2F232219044_201906_990PF_2019102316775343</t>
  </si>
  <si>
    <t>https://projects.propublica.org/nonprofits/display_990/232219044/09_2018_prefixes_22-23%2F232219044_201806_990PF_2018092615733400</t>
  </si>
  <si>
    <t>https://projects.propublica.org/nonprofits/display_990/232219044/IRS%2F232219044_201706_990PF_2017082114661662</t>
  </si>
  <si>
    <t>https://projects.propublica.org/nonprofits/display_990/232219044/2016_09_PF%2F23-2219044_990PF_201606</t>
  </si>
  <si>
    <t>https://projects.propublica.org/nonprofits/display_990/232219044/2015_09_PF%2F23-2219044_990PF_201506</t>
  </si>
  <si>
    <t>https://projects.propublica.org/nonprofits/display_990/232219044/2014_09_PF%2F23-2219044_990PF_201406</t>
  </si>
  <si>
    <t>https://projects.propublica.org/nonprofits/display_990/232219044/2013_09_PF%2F23-2219044_990PF_201306</t>
  </si>
  <si>
    <t>https://projects.propublica.org/nonprofits/redirect_to_990/263945798/2012</t>
  </si>
  <si>
    <t>https://projects.propublica.org/nonprofits/redirect_to_990/263945798/2011</t>
  </si>
  <si>
    <t>https://projects.propublica.org/nonprofits/organizations/465139252/202331249349100843/IRS990PF</t>
  </si>
  <si>
    <t>https://projects.propublica.org/nonprofits/organizations/465139252/202231319349104993/IRS990PF</t>
  </si>
  <si>
    <t>https://projects.propublica.org/nonprofits/organizations/465139252/202121339349102657/IRS990PF</t>
  </si>
  <si>
    <t>https://projects.propublica.org/nonprofits/organizations/465139252/202041609349100134/IRS990PF</t>
  </si>
  <si>
    <t>https://projects.propublica.org/nonprofits/organizations/465139252/201710939349100201/IRS990PF</t>
  </si>
  <si>
    <t>https://projects.propublica.org/nonprofits/organizations/391419612/201402559349100750/IRS990PF</t>
  </si>
  <si>
    <t>https://pp-990-xml.s3.us-east-1.amazonaws.com/201323169349100432_public.xml</t>
  </si>
  <si>
    <t>https://projects.propublica.org/nonprofits/organizations/237160400/202213199349322246/IRS990ScheduleI</t>
  </si>
  <si>
    <t>Form 990, Schedule I (2021)</t>
  </si>
  <si>
    <t>https://projects.propublica.org/nonprofits/organizations/237160400/202133199349306838/IRS990ScheduleI</t>
  </si>
  <si>
    <t>Form 990, Schedule I (2020)</t>
  </si>
  <si>
    <t>https://projects.propublica.org/nonprofits/organizations/237160400/202023219349311032/IRS990ScheduleI</t>
  </si>
  <si>
    <t>Form 990, Schedule I (2019)</t>
  </si>
  <si>
    <t>https://projects.propublica.org/nonprofits/organizations/237160400/201922699349301307/IRS990ScheduleI</t>
  </si>
  <si>
    <t>Form 990, Schedule I (2018)</t>
  </si>
  <si>
    <t>https://projects.propublica.org/nonprofits/organizations/237160400/201801239349301595/IRS990ScheduleI</t>
  </si>
  <si>
    <t>Form 990, Schedule I (2017)</t>
  </si>
  <si>
    <t>https://projects.propublica.org/nonprofits/organizations/431152398/201733199349301733/IRS990ScheduleI</t>
  </si>
  <si>
    <t>https://projects.propublica.org/nonprofits/organizations/770514959/202231339349104708/IRS990PF</t>
  </si>
  <si>
    <t>https://projects.propublica.org/nonprofits/organizations/770514959/202211199349100216/IRS990PF</t>
  </si>
  <si>
    <t>https://projects.propublica.org/nonprofits/organizations/721418931/201403219349102835/IRS990PF</t>
  </si>
  <si>
    <t>https://projects.propublica.org/nonprofits/organizations/260446897/202243199349102289/IRS990PF</t>
  </si>
  <si>
    <t>https://projects.propublica.org/nonprofits/organizations/66438629/201731659349100603/IRS990PF</t>
  </si>
  <si>
    <t>https://projects.propublica.org/nonprofits/organizations/202055555/201913199349102151/IRS990PF</t>
  </si>
  <si>
    <t>https://projects.propublica.org/nonprofits/organizations/202055555/201813199349102446/IRS990PF</t>
  </si>
  <si>
    <t>https://projects.propublica.org/nonprofits/redirect_to_990/202055555/2012</t>
  </si>
  <si>
    <t>https://projects.propublica.org/nonprofits/organizations/136098364/202133199349105713/IRS990PF</t>
  </si>
  <si>
    <t>https://projects.propublica.org/nonprofits/organizations/591004904/201601309349101570/IRS990PF</t>
  </si>
  <si>
    <t>https://projects.propublica.org/nonprofits/organizations/264689640/202112539349100616/IRS990PF</t>
  </si>
  <si>
    <t>https://projects.propublica.org/nonprofits/organizations/264689640/201832329349100303/IRS990PF</t>
  </si>
  <si>
    <t>https://projects.propublica.org/nonprofits/organizations/264689640/201701679349100605/IRS990PF</t>
  </si>
  <si>
    <t>https://projects.propublica.org/nonprofits/organizations/264689640/201631379349101818/IRS990PF</t>
  </si>
  <si>
    <t>https://projects.propublica.org/nonprofits/organizations/237174183/201830329349300208/IRS990ScheduleI</t>
  </si>
  <si>
    <t>https://projects.propublica.org/nonprofits/organizations/237174183/201710279349300016/IRS990ScheduleI</t>
  </si>
  <si>
    <t>https://projects.propublica.org/nonprofits/organizations/237174183/201510309349300501/IRS990ScheduleI</t>
  </si>
  <si>
    <t>https://projects.propublica.org/nonprofits/redirect_to_990/237174183/2012</t>
  </si>
  <si>
    <t>https://projects.propublica.org/nonprofits/redirect_to_990/237174183/2010</t>
  </si>
  <si>
    <t>NA</t>
  </si>
  <si>
    <t>https://projects.propublica.org/nonprofits/organizations/256019484/202321029349101227/IRS990PF</t>
  </si>
  <si>
    <t>https://projects.propublica.org/nonprofits/organizations/256019484/202241199349100224/IRS990PF</t>
  </si>
  <si>
    <t>https://projects.propublica.org/nonprofits/organizations/256019484/202111269349102311/IRS990PF</t>
  </si>
  <si>
    <t>https://projects.propublica.org/nonprofits/organizations/256019484/202010909349101801/IRS990PF</t>
  </si>
  <si>
    <t>https://projects.propublica.org/nonprofits/organizations/256019484/201941279349101909/IRS990PF</t>
  </si>
  <si>
    <t>https://projects.propublica.org/nonprofits/organizations/256019484/201811879349100621/IRS990PF</t>
  </si>
  <si>
    <t>https://projects.propublica.org/nonprofits/organizations/256019484/201621339349100827/IRS990PF</t>
  </si>
  <si>
    <t>https://projects.propublica.org/nonprofits/organizations/133387874/201823169349100622/IRS990PF</t>
  </si>
  <si>
    <t>https://projects.propublica.org/nonprofits/organizations/133387874/201733069349101128/IRS990PF</t>
  </si>
  <si>
    <t>https://projects.propublica.org/nonprofits/organizations/133387874/201733429349100403/IRS990PF</t>
  </si>
  <si>
    <t>https://projects.propublica.org/nonprofits/organizations/133387874/201431359349101448/IRS990PF</t>
  </si>
  <si>
    <t>https://projects.propublica.org/nonprofits/redirect_to_990/133387874/2011</t>
  </si>
  <si>
    <t>https://projects.propublica.org/nonprofits/organizations/205919285/201920609349100212/IRS990PF</t>
  </si>
  <si>
    <t>https://projects.propublica.org/nonprofits/redirect_to_990/383640193/2011</t>
  </si>
  <si>
    <t>https://projects.propublica.org/nonprofits/redirect_to_990/391582385/2011</t>
  </si>
  <si>
    <t>https://projects.propublica.org/nonprofits/organizations/202025122/202311259349101731/IRS990PF</t>
  </si>
  <si>
    <t>https://projects.propublica.org/nonprofits/organizations/202025122/202201339349103515/IRS990PF</t>
  </si>
  <si>
    <t>https://projects.propublica.org/nonprofits/organizations/363807993/202202369349100310/IRS990PF</t>
  </si>
  <si>
    <t>https://projects.propublica.org/nonprofits/display_990/363807993/07_2018_prefixes_35-37%2F363807993_201712_990PF_2018070315490883</t>
  </si>
  <si>
    <t>https://projects.propublica.org/nonprofits/organizations/116038035/201803209349100900/IRS990PF</t>
  </si>
  <si>
    <t>https://projects.propublica.org/nonprofits/organizations/116038035/201612179349100211/IRS990PF</t>
  </si>
  <si>
    <t>https://projects.propublica.org/nonprofits/redirect_to_990/43371173/2012</t>
  </si>
  <si>
    <t>https://projects.propublica.org/nonprofits/redirect_to_990/43371173/2011</t>
  </si>
  <si>
    <t>https://projects.propublica.org/nonprofits/redirect_to_990/43371173/2010</t>
  </si>
  <si>
    <t>https://projects.propublica.org/nonprofits/organizations/954442473/201742489349100159/IRS990PF</t>
  </si>
  <si>
    <t>https://projects.propublica.org/nonprofits/organizations/341894055/202341299349104429/IRS990PF</t>
  </si>
  <si>
    <t>https://projects.propublica.org/nonprofits/organizations/363728178/201621379349102302/IRS990PF</t>
  </si>
  <si>
    <t>https://projects.propublica.org/nonprofits/organizations/363728178/201521329349102957/IRS990PF</t>
  </si>
  <si>
    <t>https://projects.propublica.org/nonprofits/organizations/616554435/202213199349107846/IRS990PF</t>
  </si>
  <si>
    <t>modified</t>
  </si>
  <si>
    <t>was split in two donations originally</t>
  </si>
  <si>
    <t>https://projects.propublica.org/nonprofits/organizations/364145290/202211649349100711/IRS990PF</t>
  </si>
  <si>
    <t>https://projects.propublica.org/nonprofits/organizations/364145290/202142109349100024/IRS990PF</t>
  </si>
  <si>
    <t>https://projects.propublica.org/nonprofits/organizations/364145290/201931289349101283/IRS990PF</t>
  </si>
  <si>
    <t>https://projects.propublica.org/nonprofits/organizations/364145290/201811329349100501/IRS990PF</t>
  </si>
  <si>
    <t>https://projects.propublica.org/nonprofits/organizations/364145290/201611189349100731/IRS990PF</t>
  </si>
  <si>
    <t>https://projects.propublica.org/nonprofits/display_990/364145290/2013_05_PF%2F36-4145290_990PF_201212</t>
  </si>
  <si>
    <t>https://projects.propublica.org/nonprofits/organizations/10391479/201843179349301014/IRS990ScheduleI</t>
  </si>
  <si>
    <t>https://projects.propublica.org/nonprofits/organizations/10391479/201703139349303255/IRS990ScheduleI</t>
  </si>
  <si>
    <t>https://projects.propublica.org/nonprofits/organizations/10391479/201533209349310418/IRS990ScheduleI</t>
  </si>
  <si>
    <t>https://projects.propublica.org/nonprofits/organizations/10391479/201443219349304279/IRS990ScheduleI</t>
  </si>
  <si>
    <t>https://projects.propublica.org/nonprofits/display_990/10391479/2008_12_EO%2F01-0391479_990_200712</t>
  </si>
  <si>
    <t>https://projects.propublica.org/nonprofits/organizations/470759947/201522239349100102/IRS990PF</t>
  </si>
  <si>
    <t>https://projects.propublica.org/nonprofits/organizations/326369521/202243069349100429/IRS990PF</t>
  </si>
  <si>
    <t>https://projects.propublica.org/nonprofits/organizations/326369521/202133129349101043/IRS990PF</t>
  </si>
  <si>
    <t>https://projects.propublica.org/nonprofits/organizations/391419756/202203199349104890/IRS990PF</t>
  </si>
  <si>
    <t>https://projects.propublica.org/nonprofits/organizations/391419756/201913189349101701/IRS990PF</t>
  </si>
  <si>
    <t>https://projects.propublica.org/nonprofits/organizations/391419756/201442559349100609/IRS990PF</t>
  </si>
  <si>
    <t>https://projects.propublica.org/nonprofits/organizations/391419756/201333169349100863/IRS990PF</t>
  </si>
  <si>
    <t>https://projects.propublica.org/nonprofits/organizations/396075009/202321359349102692/IRS990PF</t>
  </si>
  <si>
    <t>https://projects.propublica.org/nonprofits/organizations/396075009/202201369349102060/IRS990PF</t>
  </si>
  <si>
    <t>https://projects.propublica.org/nonprofits/organizations/396075009/202131349349101203/IRS990PF</t>
  </si>
  <si>
    <t>https://projects.propublica.org/nonprofits/organizations/115125050/202220569349100202/IRS990PF</t>
  </si>
  <si>
    <t>https://projects.propublica.org/nonprofits/display_990/115125050/02_2021_prefixes_11-13%2F115125050_201912_990PF_2021021917722923</t>
  </si>
  <si>
    <t>https://projects.propublica.org/nonprofits/display_990/115125050/01_2020_prefixes_06-13%2F115125050_201812_990PF_2020011517034913</t>
  </si>
  <si>
    <t>https://projects.propublica.org/nonprofits/organizations/416029402/202140119349300414/IRS990ScheduleI</t>
  </si>
  <si>
    <t>https://projects.propublica.org/nonprofits/organizations/416029402/202000429349301480/IRS990ScheduleI</t>
  </si>
  <si>
    <t>https://projects.propublica.org/nonprofits/organizations/416029402/201743529349300019/IRS990ScheduleI</t>
  </si>
  <si>
    <t>https://projects.propublica.org/nonprofits/organizations/416029402/201603549349300510/IRS990ScheduleI</t>
  </si>
  <si>
    <t>https://projects.propublica.org/nonprofits/organizations/453630825/202213149349101821/IRS990PF</t>
  </si>
  <si>
    <t>https://projects.propublica.org/nonprofits/organizations/453630825/202103169349104100/IRS990PF</t>
  </si>
  <si>
    <t>https://projects.propublica.org/nonprofits/organizations/453630825/201903199349103700/IRS990PF</t>
  </si>
  <si>
    <t>https://projects.propublica.org/nonprofits/organizations/453630825/201803199349102375/IRS990PF</t>
  </si>
  <si>
    <t>https://projects.propublica.org/nonprofits/display_990/453630825/IRS%2F453630825_201612_990PF_2017111714962706</t>
  </si>
  <si>
    <t>https://projects.propublica.org/nonprofits/display_990/453630825/2016_11_PF%2F45-3630825_990PF_201512</t>
  </si>
  <si>
    <t>https://projects.propublica.org/nonprofits/display_990/453630825/2014_11_PF%2F45-3630825_990PF_201312</t>
  </si>
  <si>
    <t>https://projects.propublica.org/nonprofits/organizations/581493949/202203149349303075/IRS990ScheduleI</t>
  </si>
  <si>
    <t>https://projects.propublica.org/nonprofits/organizations/581493949/202123099349300747/IRS990ScheduleI</t>
  </si>
  <si>
    <t>https://projects.propublica.org/nonprofits/organizations/581493949/202023169349303567/IRS990ScheduleI</t>
  </si>
  <si>
    <t>https://projects.propublica.org/nonprofits/organizations/581493949/201943169349302844/IRS990ScheduleI</t>
  </si>
  <si>
    <t>https://projects.propublica.org/nonprofits/organizations/581493949/201813199349310531/IRS990ScheduleI</t>
  </si>
  <si>
    <t>https://projects.propublica.org/nonprofits/organizations/581493949/201733079349301948/IRS990ScheduleI</t>
  </si>
  <si>
    <t>https://projects.propublica.org/nonprofits/organizations/237825575/202311359349313966/IRS990ScheduleI</t>
  </si>
  <si>
    <t>https://projects.propublica.org/nonprofits/organizations/237825575/202231339349309863/IRS990ScheduleI</t>
  </si>
  <si>
    <t>https://projects.propublica.org/nonprofits/organizations/237825575/202121459349300307/IRS990ScheduleI</t>
  </si>
  <si>
    <t>https://projects.propublica.org/nonprofits/organizations/237825575/202011979349306246/IRS990ScheduleI</t>
  </si>
  <si>
    <t>https://projects.propublica.org/nonprofits/organizations/237825575/201831349349304813/IRS990ScheduleI</t>
  </si>
  <si>
    <t>https://projects.propublica.org/nonprofits/organizations/530222396/201833189349301723/IRS990ScheduleI</t>
  </si>
  <si>
    <t>https://projects.propublica.org/nonprofits/organizations/530222396/201623199349302452/IRS990ScheduleI</t>
  </si>
  <si>
    <t>https://projects.propublica.org/nonprofits/organizations/530222396/201523179349303072/IRS990ScheduleI</t>
  </si>
  <si>
    <t>https://projects.propublica.org/nonprofits/organizations/530222396/201403149349300645/IRS990ScheduleI</t>
  </si>
  <si>
    <t>https://projects.propublica.org/nonprofits/redirect_to_990/530222396/2012</t>
  </si>
  <si>
    <t>https://projects.propublica.org/nonprofits/organizations/266091059/202221369349103597/IRS990PF</t>
  </si>
  <si>
    <t>https://projects.propublica.org/nonprofits/organizations/421395902/201911409349100416/IRS990PF</t>
  </si>
  <si>
    <t>https://projects.propublica.org/nonprofits/display_990/421395902/2013_05_PF%2F42-1395902_990PF_201212</t>
  </si>
  <si>
    <t>https://projects.propublica.org/nonprofits/display_990/421395902/2013_08_PF%2F42-1395902_990PF_201112</t>
  </si>
  <si>
    <t>https://projects.propublica.org/nonprofits/display_990/421395902/2011_11_PF%2F42-1395902_990PF_201012</t>
  </si>
  <si>
    <t>https://projects.propublica.org/nonprofits/display_990/421395902/2010_11_PF%2F42-1395902_990PF_200912</t>
  </si>
  <si>
    <t>https://projects.propublica.org/nonprofits/display_990/421395902/2009_11_PF%2F42-1395902_990PF_200812</t>
  </si>
  <si>
    <t>https://projects.propublica.org/nonprofits/display_990/421395902/2008_05_PF%2F42-1395902_990PF_200712</t>
  </si>
  <si>
    <t>https://projects.propublica.org/nonprofits/display_990/421395902/2007_08_PF%2F42-1395902_990PF_200612</t>
  </si>
  <si>
    <t>https://projects.propublica.org/nonprofits/display_990/421395902/2006_11_PF%2F42-1395902_990PF_200512</t>
  </si>
  <si>
    <t>https://projects.propublica.org/nonprofits/display_990/421395902/2005_08_PF%2F42-1395902_990PF_200412</t>
  </si>
  <si>
    <t>https://projects.propublica.org/nonprofits/display_990/421395902/2004_06_PF%2F42-1395902_990PF_200312</t>
  </si>
  <si>
    <t>https://projects.propublica.org/nonprofits/display_990/421395902/2003_05_PF%2F42-1395902_990PF_200212</t>
  </si>
  <si>
    <t>https://projects.propublica.org/nonprofits/display_990/421395902/2002_09_PF%2F42-1395902_990PF_200112</t>
  </si>
  <si>
    <t>https://projects.propublica.org/nonprofits/organizations/363858426/201810449349100406/IRS990PF</t>
  </si>
  <si>
    <t>https://projects.propublica.org/nonprofits/organizations/330784158/202223069349100632/IRS990PF</t>
  </si>
  <si>
    <t>https://projects.propublica.org/nonprofits/organizations/472780646/202300629349100430/IRS990PF</t>
  </si>
  <si>
    <t>https://projects.propublica.org/nonprofits/organizations/472780646/202100579349100310/IRS990PF</t>
  </si>
  <si>
    <t>https://projects.propublica.org/nonprofits/organizations/61463304/202023399349100102/IRS990PF</t>
  </si>
  <si>
    <t>https://projects.propublica.org/nonprofits/organizations/454106275/202133159349102303/IRS990PF</t>
  </si>
  <si>
    <t>https://projects.propublica.org/nonprofits/display_990/201060782/2012_12_PF%2F20-1060782_990PF_201112</t>
  </si>
  <si>
    <t>https://projects.propublica.org/nonprofits/organizations/161586282/202321319349102012/IRS990PF</t>
  </si>
  <si>
    <t>https://projects.propublica.org/nonprofits/organizations/161586282/202240679349100904/IRS990PF</t>
  </si>
  <si>
    <t>https://projects.propublica.org/nonprofits/organizations/161586282/202100899349100415/IRS990PF</t>
  </si>
  <si>
    <t>https://projects.propublica.org/nonprofits/organizations/276961238/202331359349101438/IRS990PF</t>
  </si>
  <si>
    <t>https://projects.propublica.org/nonprofits/organizations/276961238/202111339349100536/IRS990PF</t>
  </si>
  <si>
    <t>https://projects.propublica.org/nonprofits/display_990/276961238/02_2021_prefixes_27-31%2F276961238_201912_990PF_2021020917700584</t>
  </si>
  <si>
    <t>https://projects.propublica.org/nonprofits/organizations/823439592/202103199349319785/IRS990ScheduleI</t>
  </si>
  <si>
    <t>https://projects.propublica.org/nonprofits/organizations/136083839/202213159349101881/IRS990PF</t>
  </si>
  <si>
    <t>https://projects.propublica.org/nonprofits/organizations/367252117/202243189349104824/GeneralExplanationAttachment</t>
  </si>
  <si>
    <t>https://projects.propublica.org/nonprofits/organizations/367252117/202143139349101814/GeneralExplanationAttachment</t>
  </si>
  <si>
    <t>https://projects.propublica.org/nonprofits/display_990/367252117/12_2019_prefixes_35-38%2F367252117_201812_990PF_2019121616960962</t>
  </si>
  <si>
    <t>https://projects.propublica.org/nonprofits/display_990/367252117/2016_11_PF%2F36-7252117_990PF_201512</t>
  </si>
  <si>
    <t>https://projects.propublica.org/nonprofits/display_990/367252117/2014_11_PF%2F36-7252117_990PF_201312</t>
  </si>
  <si>
    <t>https://projects.propublica.org/nonprofits/organizations/472843650/201803119349300205/IRS990ScheduleI</t>
  </si>
  <si>
    <t>https://projects.propublica.org/nonprofits/organizations/222175290/201511689349100111/IRS990PF</t>
  </si>
  <si>
    <t>https://projects.propublica.org/nonprofits/organizations/222175290/201441749349100154/IRS990PF</t>
  </si>
  <si>
    <t>https://projects.propublica.org/nonprofits/organizations/526854624/202223159349102507/IRS990PF</t>
  </si>
  <si>
    <t>https://projects.propublica.org/nonprofits/organizations/266244572/201441359349101364/IRS990PF</t>
  </si>
  <si>
    <t>https://projects.propublica.org/nonprofits/redirect_to_990/266244572/2012</t>
  </si>
  <si>
    <t>https://projects.propublica.org/nonprofits/redirect_to_990/266244572/2011</t>
  </si>
  <si>
    <t>https://projects.propublica.org/nonprofits/redirect_to_990/266164658/2012</t>
  </si>
  <si>
    <t>https://projects.propublica.org/nonprofits/organizations/363747664/202220599349100367/IRS990PF</t>
  </si>
  <si>
    <t>https://projects.propublica.org/nonprofits/organizations/363747664/202120579349100017/IRS990PF</t>
  </si>
  <si>
    <t>https://projects.propublica.org/nonprofits/organizations/363747664/202001349349101030/IRS990PF</t>
  </si>
  <si>
    <t>https://projects.propublica.org/nonprofits/organizations/953950678/201623209349104367/IRS990PF</t>
  </si>
  <si>
    <t>https://projects.propublica.org/nonprofits/organizations/136868370/202321249349100017/IRS990PF</t>
  </si>
  <si>
    <t>https://projects.propublica.org/nonprofits/organizations/136868370/202242499349100404/IRS990PF</t>
  </si>
  <si>
    <t>https://projects.propublica.org/nonprofits/organizations/746493929/202321309349104552/IRS990PF</t>
  </si>
  <si>
    <t>https://projects.propublica.org/nonprofits/organizations/746493929/202221329349102837/IRS990PF</t>
  </si>
  <si>
    <t>https://projects.propublica.org/nonprofits/organizations/746493929/202101669349100920/IRS990PF</t>
  </si>
  <si>
    <t>https://projects.propublica.org/nonprofits/organizations/746493929/202011379349100201/IRS990PF</t>
  </si>
  <si>
    <t>https://projects.propublica.org/nonprofits/organizations/61519267/202011489349101101/IRS990PF</t>
  </si>
  <si>
    <t>https://projects.propublica.org/nonprofits/organizations/61519267/201931639349100508/IRS990PF</t>
  </si>
  <si>
    <t>https://projects.propublica.org/nonprofits/organizations/61519267/201811229349100326/IRS990PF</t>
  </si>
  <si>
    <t>https://projects.propublica.org/nonprofits/organizations/61519267/201731179349100123/IRS990PF</t>
  </si>
  <si>
    <t>https://projects.propublica.org/nonprofits/organizations/61519267/201611239349100611/IRS990PF</t>
  </si>
  <si>
    <t>https://projects.propublica.org/nonprofits/organizations/61519267/201411229349100806/IRS990PF</t>
  </si>
  <si>
    <t>https://projects.propublica.org/nonprofits/redirect_to_990/61519267/2012</t>
  </si>
  <si>
    <t>https://projects.propublica.org/nonprofits/redirect_to_990/61519267/2011</t>
  </si>
  <si>
    <t>https://projects.propublica.org/nonprofits/redirect_to_990/61519267/2010</t>
  </si>
  <si>
    <t>https://projects.propublica.org/nonprofits/display_990/61519267/2009_06_PF%2F06-1519267_990PF_200812</t>
  </si>
  <si>
    <t>https://projects.propublica.org/nonprofits/organizations/341322032/202320419349100207/IRS990PF</t>
  </si>
  <si>
    <t>https://projects.propublica.org/nonprofits/organizations/202007940/202113199349105211/IRS990PF</t>
  </si>
  <si>
    <t>Annual Report</t>
  </si>
  <si>
    <t>https://projects.propublica.org/nonprofits/organizations/311640316/202330939349300403/IRS990ScheduleI</t>
  </si>
  <si>
    <t>https://projects.propublica.org/nonprofits/organizations/311640316/202230499349301028/IRS990ScheduleI</t>
  </si>
  <si>
    <t>https://projects.propublica.org/nonprofits/organizations/311640316/202140489349301804/IRS990ScheduleI</t>
  </si>
  <si>
    <t>https://projects.propublica.org/nonprofits/organizations/311640316/202010489349300101/IRS990ScheduleI</t>
  </si>
  <si>
    <t>https://projects.propublica.org/nonprofits/organizations/311640316/201930459349302018/IRS990ScheduleI</t>
  </si>
  <si>
    <t>https://projects.propublica.org/nonprofits/organizations/311640316/201800879349300300/IRS990ScheduleI</t>
  </si>
  <si>
    <t>https://projects.propublica.org/nonprofits/organizations/311640316/201700559349300200/IRS990ScheduleI</t>
  </si>
  <si>
    <t>https://projects.propublica.org/nonprofits/organizations/311640316/201600859349300135/IRS990ScheduleI</t>
  </si>
  <si>
    <t>https://projects.propublica.org/nonprofits/organizations/300742331/201623159349100537/IRS990PF</t>
  </si>
  <si>
    <t>https://projects.propublica.org/nonprofits/organizations/916013536/202233199349311048/IRS990ScheduleI</t>
  </si>
  <si>
    <t>https://projects.propublica.org/nonprofits/organizations/916013536/202113029349301626/IRS990ScheduleI</t>
  </si>
  <si>
    <t>https://projects.propublica.org/nonprofits/organizations/916013536/202042619349300329/IRS990ScheduleI</t>
  </si>
  <si>
    <t>https://projects.propublica.org/nonprofits/organizations/916013536/201912699349301031/IRS990ScheduleI</t>
  </si>
  <si>
    <t>https://projects.propublica.org/nonprofits/organizations/136066583/202223149349100917/IRS990PF</t>
  </si>
  <si>
    <t>https://projects.propublica.org/nonprofits/organizations/136066583/201903109349100200/IRS990PF</t>
  </si>
  <si>
    <t>https://projects.propublica.org/nonprofits/organizations/136066583/201733129349100138/IRS990PF</t>
  </si>
  <si>
    <t>https://projects.propublica.org/nonprofits/organizations/136066583/201532899349100503/IRS990PF</t>
  </si>
  <si>
    <t>https://projects.propublica.org/nonprofits/organizations/382092191/202131809349100118/IRS990PF</t>
  </si>
  <si>
    <t>https://projects.propublica.org/nonprofits/organizations/382092191/202032309349100238/IRS990PF</t>
  </si>
  <si>
    <t>https://projects.propublica.org/nonprofits/organizations/382092191/201941929349100109/IRS990PF</t>
  </si>
  <si>
    <t>https://projects.propublica.org/nonprofits/display_990/382092191/IRS%2F382092191_201612_990PF_2017061414519045</t>
  </si>
  <si>
    <t>https://projects.propublica.org/nonprofits/display_990/382092191/2014_09_PF%2F38-2092191_990PF_201312</t>
  </si>
  <si>
    <t>https://projects.propublica.org/nonprofits/organizations/541871352/201902069349100500/IRS990PF</t>
  </si>
  <si>
    <t>https://projects.propublica.org/nonprofits/organizations/232047668/202043179349101224/IRS990PF</t>
  </si>
  <si>
    <t>Aff</t>
  </si>
  <si>
    <t>CP Donors Trust</t>
  </si>
  <si>
    <t>State Policy Network_America's Future Foundation201612000</t>
  </si>
  <si>
    <t>State Policy Network_Beacon Center of Tennessee201650350</t>
  </si>
  <si>
    <t>State Policy Network_Buckeye Institute for Public Policy Solutions201622462</t>
  </si>
  <si>
    <t>State Policy Network_Cascade Policy Institute201641000</t>
  </si>
  <si>
    <t>State Policy Network_Center for the American Experiment201650700</t>
  </si>
  <si>
    <t>State Policy Network_Commonwealth Foundation for Public Policy Alternatives201647850</t>
  </si>
  <si>
    <t>State Policy Network_Evergreen Freedom Foundation201650000</t>
  </si>
  <si>
    <t>State Policy Network_Georgia Center for Opportunity201650000</t>
  </si>
  <si>
    <t>State Policy Network_Goldwater Institute for Public Policy201620000</t>
  </si>
  <si>
    <t>State Policy Network_Idaho Freedom Foundation201638350</t>
  </si>
  <si>
    <t>State Policy Network_Illinois Policy Institute2016150700</t>
  </si>
  <si>
    <t>State Policy Network_John W Pope Civitas Institute201640000</t>
  </si>
  <si>
    <t>State Policy Network_Mackinac Center for Public Policy201641289</t>
  </si>
  <si>
    <t>State Policy Network_Maryland Public Policy Institute201650000</t>
  </si>
  <si>
    <t>State Policy Network_Montana Policy Institute201621500</t>
  </si>
  <si>
    <t>State Policy Network_Palmetto Policy Forum201635000</t>
  </si>
  <si>
    <t>State Policy Network_Platte Institute for Economic Research201646000</t>
  </si>
  <si>
    <t>State Policy Network_South Carolina Policy Council20168000</t>
  </si>
  <si>
    <t>South Carolina Policy Council EIN 57-0835744</t>
  </si>
  <si>
    <t>State Policy Network_Texas Public Policy Foundation201612000</t>
  </si>
  <si>
    <t>State Policy Network_James Madison Institute201645500</t>
  </si>
  <si>
    <t>State Policy Network_Show-Me Institute201640950</t>
  </si>
  <si>
    <t>State Policy Network_Wisconsin Institute for Law &amp; Liberty Inc.201642375</t>
  </si>
  <si>
    <t>State Policy Network_Alabama Policy Institute201535000</t>
  </si>
  <si>
    <t>State Policy Network_Buckeye Institute for Public Policy Solutions2015201250</t>
  </si>
  <si>
    <t>State Policy Network_California Policy Center201550000</t>
  </si>
  <si>
    <t>State Policy Network_Cardinal Institute for West Virginia Policy201537000</t>
  </si>
  <si>
    <t>State Policy Network_Cascade Policy Institute201583000</t>
  </si>
  <si>
    <t>State Policy Network_Empire Center for Public Policy201542300</t>
  </si>
  <si>
    <t>State Policy Network_Evergreen Freedom Foundation201560000</t>
  </si>
  <si>
    <t>State Policy Network_Georgia Public Policy Foundation20157000</t>
  </si>
  <si>
    <t>State Policy Network_Grassroot Institute of Hawaii201512500</t>
  </si>
  <si>
    <t>typo in original</t>
  </si>
  <si>
    <t>State Policy Network_Illinois Policy Institute2015126300</t>
  </si>
  <si>
    <t>State Policy Network_Independence Institute201580000</t>
  </si>
  <si>
    <t>State Policy Network_Libertas Institute20157500</t>
  </si>
  <si>
    <t>State Policy Network_Mackinac Center for Public Policy201545000</t>
  </si>
  <si>
    <t>State Policy Network_Maryland Public Policy Institute201525000</t>
  </si>
  <si>
    <t>State Policy Network_Oklahoma Council of Public Affairs201555300</t>
  </si>
  <si>
    <t>State Policy Network_Palmetto Policy Forum201519000</t>
  </si>
  <si>
    <t>State Policy Network_Pioneer Institute201540000</t>
  </si>
  <si>
    <t>State Policy Network_Rhode Island Center for Freedom and Prosperity201549000</t>
  </si>
  <si>
    <t>State Policy Network_Sutherland Institute201550000</t>
  </si>
  <si>
    <t>State Policy Network_Talent Market20155000</t>
  </si>
  <si>
    <t>State Policy Network_James Madison Institute201541000</t>
  </si>
  <si>
    <t>State Policy Network_Show-Me Institute201542500</t>
  </si>
  <si>
    <t>State Policy Network_Yankee Institute201582500</t>
  </si>
  <si>
    <t>State Policy Network_Advance Arkansas Institute201426000</t>
  </si>
  <si>
    <t>State Policy Network_Alabama Policy Institute201415000</t>
  </si>
  <si>
    <t>State Policy Network_Beacon Center of Tennessee201440000</t>
  </si>
  <si>
    <t>State Policy Network_Buckeye Institute for Public Policy Solutions201447250</t>
  </si>
  <si>
    <t>State Policy Network_California Policy Center201459100</t>
  </si>
  <si>
    <t>State Policy Network_Cascade Policy Institute201420000</t>
  </si>
  <si>
    <t>State Policy Network_Commonwealth Foundation for Public Policy Alternatives201426000</t>
  </si>
  <si>
    <t>State Policy Network_Evergreen Freedom Foundation201411000</t>
  </si>
  <si>
    <t>modified donor_name</t>
  </si>
  <si>
    <t>State Policy Network_Goldwater Institute for Public Policy201420300</t>
  </si>
  <si>
    <t>State Policy Network_Illinois Policy Institute201438300</t>
  </si>
  <si>
    <t>State Policy Network_Independence Institute201472350</t>
  </si>
  <si>
    <t>State Policy Network_James Madison Institute201440000</t>
  </si>
  <si>
    <t>State Policy Network_John Locke Foundation201450100</t>
  </si>
  <si>
    <t>State Policy Network_John W Pope Civitas Institute201410000</t>
  </si>
  <si>
    <t>State Policy Network_Kansas Policy Institute201414600</t>
  </si>
  <si>
    <t>State Policy Network_Mackinac Center for Public Policy201446300</t>
  </si>
  <si>
    <t>State Policy Network_Maclver Institute201446600</t>
  </si>
  <si>
    <t>State Policy Network_Maryland Public Policy Institute201415000</t>
  </si>
  <si>
    <t>State Policy Network_Montana Policy Institute201422000</t>
  </si>
  <si>
    <t>State Policy Network_Oklahoma Council of Public Affairs201440000</t>
  </si>
  <si>
    <t>State Policy Network_Palmetto Policy Forum201425000</t>
  </si>
  <si>
    <t>State Policy Network_Pelican Institute for Public Policy201410250</t>
  </si>
  <si>
    <t>State Policy Network_Platte Institute for Economic Research201413000</t>
  </si>
  <si>
    <t>State Policy Network_Rio Grande Foundation201410250</t>
  </si>
  <si>
    <t>State Policy Network_Show-Me Institute201476100</t>
  </si>
  <si>
    <t>State Policy Network_South Carolina Policy Council201425000</t>
  </si>
  <si>
    <t>South Carolina Policy Institute EIN 57-0835744</t>
  </si>
  <si>
    <t>State Policy Network_Spark Freedom201471000</t>
  </si>
  <si>
    <t>State Policy Network_State Budget Solutions201430000</t>
  </si>
  <si>
    <t>State Policy Network_Sutherland Institute201465100</t>
  </si>
  <si>
    <t>State Policy Network_Texas Public Policy Foundation201489400</t>
  </si>
  <si>
    <t>State Policy Network_Thomas Jefferson Institute201415000</t>
  </si>
  <si>
    <t>State Policy Network_Washington Policy Center201418000</t>
  </si>
  <si>
    <t>State Policy Network_Advance Arkansas Institute201335000</t>
  </si>
  <si>
    <t>State Policy Network_Bluegrass Institute for Public Policy Solutions201330000</t>
  </si>
  <si>
    <t>State Policy Network_Cascade Policy Institute201340000</t>
  </si>
  <si>
    <t>State Policy Network_Center for Constitutional Law201320000</t>
  </si>
  <si>
    <t>State Policy Network_Commonwealth Foundation for Public Policy Alternatives2013131250</t>
  </si>
  <si>
    <t>State Policy Network_Empire Center for Public Policy201351500</t>
  </si>
  <si>
    <t>State Policy Network_Ethan Allen Institute201324930</t>
  </si>
  <si>
    <t>State Policy Network_Foundation for Government Accountability201355000</t>
  </si>
  <si>
    <t>State Policy Network_Freedom Foundation of Minnesota201310000</t>
  </si>
  <si>
    <t>State Policy Network_Evergreen Freedom Foundation201380250</t>
  </si>
  <si>
    <t>State Policy Network_Georgia Center for Opportunity201340000</t>
  </si>
  <si>
    <t>State Policy Network_Goldwater Institute for Public Policy201340000</t>
  </si>
  <si>
    <t>State Policy Network_Illinois Policy Institute201345000</t>
  </si>
  <si>
    <t>State Policy Network_Independence Institute201325000</t>
  </si>
  <si>
    <t>State Policy Network_James Madison Institute201312200</t>
  </si>
  <si>
    <t>State Policy Network_Josiah Bartlett Center for Public Policy201323250</t>
  </si>
  <si>
    <t>State Policy Network_Kansas Policy Institute201340000</t>
  </si>
  <si>
    <t>State Policy Network_Liberty Foundation201324700</t>
  </si>
  <si>
    <t>State Policy Network_Mackinac Center for Public Policy201321000</t>
  </si>
  <si>
    <t>State Policy Network_Maine Heritage Policy Center201350000</t>
  </si>
  <si>
    <t>State Policy Network_Maryland Public Policy Institute201325000</t>
  </si>
  <si>
    <t>State Policy Network_Oklahoma Council of Public Affairs201325000</t>
  </si>
  <si>
    <t>State Policy Network_Opportunity Ohio2013129000</t>
  </si>
  <si>
    <t>State Policy Network_Platte Institute for Economic Research201328000</t>
  </si>
  <si>
    <t>State Policy Network_Rhode Island Center for Freedom and Prosperity201338000</t>
  </si>
  <si>
    <t>State Policy Network_Show-Me Institute20136500</t>
  </si>
  <si>
    <t>State Policy Network_South Carolina Policy Council2013100000</t>
  </si>
  <si>
    <t>State Policy Network_Spark Freedom201322500</t>
  </si>
  <si>
    <t>State Policy Network_Sutherland Institute201341000</t>
  </si>
  <si>
    <t>State Policy Network_Talent Market20135000</t>
  </si>
  <si>
    <t>State Policy Network_Texas Public Policy Foundation201390000</t>
  </si>
  <si>
    <t>State Policy Network_Washington Policy Center201324628</t>
  </si>
  <si>
    <t>State Policy Network_Alabama Policy Institute201210000</t>
  </si>
  <si>
    <t>State Policy Network_American Phoenix Foundation201225000</t>
  </si>
  <si>
    <t>State Policy Network_Beacon Center of Tennessee20125000</t>
  </si>
  <si>
    <t>State Policy Network_Buckeye Institute for Public Policy Solutions20125000</t>
  </si>
  <si>
    <t>State Policy Network_Commonwealth Foundation for Public Policy Alternatives201282500</t>
  </si>
  <si>
    <t>State Policy Network_First Freedom Foundation of South Dakota201210000</t>
  </si>
  <si>
    <t>State Policy Network_Foundation for Government Accountability2012108150</t>
  </si>
  <si>
    <t>State Policy Network_Franklin Center for Government and Public Integrity2012100000</t>
  </si>
  <si>
    <t>State Policy Network_Freedom Foundation of Minnesota201229500</t>
  </si>
  <si>
    <t>State Policy Network_Evergreen Freedom Foundation201251000</t>
  </si>
  <si>
    <t>State Policy Network_Goldwater Institute for Public Policy201225000</t>
  </si>
  <si>
    <t>State Policy Network_Idaho Freedom Foundation201230000</t>
  </si>
  <si>
    <t>State Policy Network_Illinois Policy Institute2012167000</t>
  </si>
  <si>
    <t>State Policy Network_Independence Institute201295000</t>
  </si>
  <si>
    <t>State Policy Network_James Madison Institute2012200000</t>
  </si>
  <si>
    <t>State Policy Network_John W Pope Civitas Institute201230000</t>
  </si>
  <si>
    <t>State Policy Network_Mackinac Center for Public Policy201269250</t>
  </si>
  <si>
    <t>State Policy Network_Maine Heritage Policy Center20125000</t>
  </si>
  <si>
    <t>State Policy Network_Manhattan Institute for Policy Research201230000</t>
  </si>
  <si>
    <t>State Policy Network_Montana Policy Institute201267000</t>
  </si>
  <si>
    <t>State Policy Network_North Dakota Policy institute201227000</t>
  </si>
  <si>
    <t>State Policy Network_Oklahoma Council of Public Affairs2012150000</t>
  </si>
  <si>
    <t>State Policy Network_Operation Geek Farm2012221900</t>
  </si>
  <si>
    <t>State Policy Network_Opportunity Ohio2012265775</t>
  </si>
  <si>
    <t>State Policy Network_Oregon Capital Watch Fund2012200000</t>
  </si>
  <si>
    <t>State Policy Network_South Carolina Policy Council201255000</t>
  </si>
  <si>
    <t>State Policy Network_Spark Freedom201225000</t>
  </si>
  <si>
    <t>State Policy Network_Sutherland Institute201275000</t>
  </si>
  <si>
    <t>State Policy Network_Texas Conservative Coalition201230000</t>
  </si>
  <si>
    <t>State Policy Network_Texas Public Policy Foundation201230000</t>
  </si>
  <si>
    <t>State Policy Network_True The Vote201240000</t>
  </si>
  <si>
    <t>State Policy Network_Washington Policy Center20129250</t>
  </si>
  <si>
    <t>State Policy Network_Where's The Line201230000</t>
  </si>
  <si>
    <t>State Policy Network_Wyoming Policy Institute201222500</t>
  </si>
  <si>
    <t>State Policy Network_Advance Arkansas Institute201150000</t>
  </si>
  <si>
    <t>State Policy Network_Beacon Hill Institute201129500</t>
  </si>
  <si>
    <t>State Policy Network_Buckeye Institute for Public Policy Solutions201120000</t>
  </si>
  <si>
    <t>State Policy Network_Cascade Policy Institute201130000</t>
  </si>
  <si>
    <t>State Policy Network_Commonwealth Foundation for Public Policy Alternatives201145000</t>
  </si>
  <si>
    <t>State Policy Network_First Freedom Foundation of South Dakota201110000</t>
  </si>
  <si>
    <t>State Policy Network_Foundation for Government Accountability201160000</t>
  </si>
  <si>
    <t>State Policy Network_Evergreen Freedom Foundation201133500</t>
  </si>
  <si>
    <t>State Policy Network_Georgia Public Policy Foundation201124500</t>
  </si>
  <si>
    <t>State Policy Network_Goldwater Institute for Public Policy201130000</t>
  </si>
  <si>
    <t>State Policy Network_Illinois Policy Institute201180000</t>
  </si>
  <si>
    <t>State Policy Network_Mackinac Center for Public Policy201160000</t>
  </si>
  <si>
    <t>State Policy Network_North Dakota Policy institute201153000</t>
  </si>
  <si>
    <t>State Policy Network_Oklahoma Council of Public Affairs201130000</t>
  </si>
  <si>
    <t>State Policy Network_Operation Geek Farm2011275000</t>
  </si>
  <si>
    <t>State Policy Network_Oregon Capital Watch Fund201190000</t>
  </si>
  <si>
    <t>State Policy Network_Rhode Island Center for Freedom and Prosperity2011122000</t>
  </si>
  <si>
    <t>State Policy Network_Rio Grande Foundation201130000</t>
  </si>
  <si>
    <t>State Policy Network_Thomas Jefferson Institute201150000</t>
  </si>
  <si>
    <t>State Policy Network_TNReportcom News Services20117985</t>
  </si>
  <si>
    <t>State Policy Network_Washington Policy Center20119675</t>
  </si>
  <si>
    <t>State Policy Network_Beacon Hill Institute201029500</t>
  </si>
  <si>
    <t>State Policy Network_Caesar Rodney Institute201026000</t>
  </si>
  <si>
    <t>State Policy Network_Cascade Policy Institute201030000</t>
  </si>
  <si>
    <t>State Policy Network_Commonwealth Foundation for Public Policy Alternatives201056500</t>
  </si>
  <si>
    <t>State Policy Network_Everglades Legal Foundation2010150000</t>
  </si>
  <si>
    <t>State Policy Network_Independence Institute201072500</t>
  </si>
  <si>
    <t>State Policy Network_James Madison Institute201054000</t>
  </si>
  <si>
    <t>State Policy Network_Mackinac Center for Public Policy201025000</t>
  </si>
  <si>
    <t>State Policy Network_Maine Heritage Policy Center201031000</t>
  </si>
  <si>
    <t>State Policy Network_Maryland Public Policy Institute201030000</t>
  </si>
  <si>
    <t>State Policy Network_Montana Policy Institute201038000</t>
  </si>
  <si>
    <t>State Policy Network_Nevada Policy Research Institute201035500</t>
  </si>
  <si>
    <t>State Policy Network_Open Government Institute of California201010000</t>
  </si>
  <si>
    <t>State Policy Network_Pelican Institute20108000</t>
  </si>
  <si>
    <t>State Policy Network_Solutions for New Jersey201012500</t>
  </si>
  <si>
    <t>State Policy Network_South Carolina Policy Council201031500</t>
  </si>
  <si>
    <t>State Policy Network_Texas Public Policy Foundation201019500</t>
  </si>
  <si>
    <t>State Policy Network_Washington Policy Center201042750</t>
  </si>
  <si>
    <t>State Policy Network_Alabama Policy Institute200930000</t>
  </si>
  <si>
    <t>State Policy Network_Arkanansas Policy Foundation20096100</t>
  </si>
  <si>
    <t>State Policy Network_Cascade Policy Institute200930000</t>
  </si>
  <si>
    <t>State Policy Network_Common Sense Institute of New Jersey200950000</t>
  </si>
  <si>
    <t>State Policy Network_Empire Center for Public Policy200930000</t>
  </si>
  <si>
    <t>State Policy Network_Everglades Legal Foundation200920000</t>
  </si>
  <si>
    <t>State Policy Network_Idaho Freedom Foundation2009110000</t>
  </si>
  <si>
    <t>State Policy Network_Idaho Freedom Foundation2009135000</t>
  </si>
  <si>
    <t>State Policy Network_Illinois Policy Institute200930000</t>
  </si>
  <si>
    <t>State Policy Network_Josiah Bartlett Center for Public Policy200926000</t>
  </si>
  <si>
    <t>State Policy Network_Liberty on the Rocks200950000</t>
  </si>
  <si>
    <t>State Policy Network_Maine Heritage Policy Center200930000</t>
  </si>
  <si>
    <t>State Policy Network_Maine Heritage Policy Center20095000</t>
  </si>
  <si>
    <t>State Policy Network_Maine Heritage Policy Center200950000</t>
  </si>
  <si>
    <t>State Policy Network_Maryland Public Policy Institute200930000</t>
  </si>
  <si>
    <t>State Policy Network_Open Government Institute of California2009100000</t>
  </si>
  <si>
    <t>State Policy Network_Open Government Institute of California200925000</t>
  </si>
  <si>
    <t>State Policy Network_Rio Grande Foundation200930000</t>
  </si>
  <si>
    <t>State Policy Network_South Carolina Policy Council200950000</t>
  </si>
  <si>
    <t>State Policy Network_Texas Public Policy Foundation200930000</t>
  </si>
  <si>
    <t>State Policy Network_Virginia Institute for Public Policy200930000</t>
  </si>
  <si>
    <t>State Policy Network_Washington Policy Center20095000</t>
  </si>
  <si>
    <t>State Policy Network_Wyoming Liberty Group200925000</t>
  </si>
  <si>
    <t>State Policy Network_Wyoming Liberty Group200965000</t>
  </si>
  <si>
    <t>State Policy Network_Beacon Hill Institute200829250</t>
  </si>
  <si>
    <t>State Policy Network_Caesar Rodney Institute200840000</t>
  </si>
  <si>
    <t>State Policy Network_Competitive Governance Institute (Formerly Sam Adams Alliance)2008180000</t>
  </si>
  <si>
    <t>Sam Adams Alliance</t>
  </si>
  <si>
    <t>State Policy Network_DC Progress200881791</t>
  </si>
  <si>
    <t>State Policy Network_Evergreen Freedom Foundation200836750</t>
  </si>
  <si>
    <t>State Policy Network_Goldwater Institute for Public Policy200830000</t>
  </si>
  <si>
    <t>State Policy Network_Idaho Freedom Foundation200815000</t>
  </si>
  <si>
    <t>State Policy Network_James Madison Institute200825000</t>
  </si>
  <si>
    <t>State Policy Network_John Locke Foundation200820000</t>
  </si>
  <si>
    <t>State Policy Network_Mackinac Center for Public Policy200850000</t>
  </si>
  <si>
    <t>State Policy Network_Maclver Institute200825000</t>
  </si>
  <si>
    <t>State Policy Network_Maclver Institute200850000</t>
  </si>
  <si>
    <t>State Policy Network_Maine Heritage Policy Center200830000</t>
  </si>
  <si>
    <t>State Policy Network_Maryland Public Policy Institute200830000</t>
  </si>
  <si>
    <t>State Policy Network_North Dakota Policy institute200885000</t>
  </si>
  <si>
    <t>State Policy Network_Ocean State Policy Research2008121250</t>
  </si>
  <si>
    <t>State Policy Network_Pelican Institute2008240000</t>
  </si>
  <si>
    <t>State Policy Network_Rio Grande Foundation200835000</t>
  </si>
  <si>
    <t>State Policy Network_Texas Public Policy Foundation200825000</t>
  </si>
  <si>
    <t>State Policy Network_Texas Watchdog200882000</t>
  </si>
  <si>
    <t>State Policy Network_Virginia Institute for Public Policy200828941</t>
  </si>
  <si>
    <t>State Policy Network_1816 Institute20075846</t>
  </si>
  <si>
    <t>State Policy Network_Atlas Economic Research Foundation200717894</t>
  </si>
  <si>
    <t>State Policy Network_Beacon Hill Institute200728750</t>
  </si>
  <si>
    <t>State Policy Network_Cascade Policy Institute200742322</t>
  </si>
  <si>
    <t>State Policy Network_Commonwealth Foundation for Public Policy Alternatives200740000</t>
  </si>
  <si>
    <t>State Policy Network_Competitive Governance Institute (Formerly Sam Adams Alliance)20071386</t>
  </si>
  <si>
    <t>State Policy Network_Evergreen Freedom Foundation200715664</t>
  </si>
  <si>
    <t>State Policy Network_Freedom Foundation of Minnesota200740000</t>
  </si>
  <si>
    <t>State Policy Network_Georgia Family Council20071182</t>
  </si>
  <si>
    <t>State Policy Network_Georgia Public Policy Foundation200735975</t>
  </si>
  <si>
    <t>State Policy Network_Goldwater Institute for Public Policy20071549</t>
  </si>
  <si>
    <t>State Policy Network_Independence Institute20077113</t>
  </si>
  <si>
    <t>State Policy Network_James Madison Institute200740000</t>
  </si>
  <si>
    <t>State Policy Network_James Madison Institute2007622</t>
  </si>
  <si>
    <t>State Policy Network_John Locke Foundation20075714</t>
  </si>
  <si>
    <t>State Policy Network_Josiah Bartlett Center for Public Policy2007819</t>
  </si>
  <si>
    <t>State Policy Network_Louisiana Family Forum2007411</t>
  </si>
  <si>
    <t>State Policy Network_Maine Heritage Policy Center20075000</t>
  </si>
  <si>
    <t>State Policy Network_Mississippi Center for Public Policy20076044</t>
  </si>
  <si>
    <t>State Policy Network_North Dakota Policy institute200776197</t>
  </si>
  <si>
    <t>State Policy Network_Ocean State Policy Research200750916</t>
  </si>
  <si>
    <t>State Policy Network_Oklahoma Council of Public Affairs200740000</t>
  </si>
  <si>
    <t>State Policy Network_Pelican Institute20075000</t>
  </si>
  <si>
    <t>State Policy Network_Pioneer Institute2007718</t>
  </si>
  <si>
    <t>State Policy Network_Public Interest Institute200715000</t>
  </si>
  <si>
    <t>State Policy Network_Public Policy Foundation of West Virginia200735000</t>
  </si>
  <si>
    <t>State Policy Network_Show-Me Institute200787951</t>
  </si>
  <si>
    <t>State Policy Network_South Carolina Policy Council20071139</t>
  </si>
  <si>
    <t>State Policy Network_South Carolina Policy Council200740000</t>
  </si>
  <si>
    <t>State Policy Network_Sutherland Institute20071324</t>
  </si>
  <si>
    <t>State Policy Network_Tennessee Center for Policy Research200752589</t>
  </si>
  <si>
    <t>State Policy Network_Texas Public Policy Foundation200780000</t>
  </si>
  <si>
    <t>State Policy Network_Thomas Jefferson Institute200715000</t>
  </si>
  <si>
    <t>State Policy Network_Washington Policy Center20077029</t>
  </si>
  <si>
    <t>State Policy Network_Wisconsin Policy Research Institute200761055</t>
  </si>
  <si>
    <t>State Policy Network_Alabama Policy Institute200626000</t>
  </si>
  <si>
    <t>State Policy Network_Buckeye Institute for Public Policy Solutions200630000</t>
  </si>
  <si>
    <t>State Policy Network_Independence Institute200630000</t>
  </si>
  <si>
    <t>State Policy Network_James Madison Institute200630000</t>
  </si>
  <si>
    <t>State Policy Network_Mackinac Center for Public Policy200625000</t>
  </si>
  <si>
    <t>State Policy Network_Rio Grande Foundation200620000</t>
  </si>
  <si>
    <t>State Policy Network_South Carolina Policy Council200630000</t>
  </si>
  <si>
    <t>State Policy Network_Wisconsin Policy Research Institute200625000</t>
  </si>
  <si>
    <t>State Policy Network_Buckeye Institute for Public Policy Solutions20055000</t>
  </si>
  <si>
    <t>State Policy Network_Flint Hills Center For Public Policy20052500</t>
  </si>
  <si>
    <t>State Policy Network_Georgia Public Policy Foundation20055000</t>
  </si>
  <si>
    <t>State Policy Network_Goldwater Institute for Public Policy20052500</t>
  </si>
  <si>
    <t>State Policy Network_Grassroots Institute of Hawaii20052500</t>
  </si>
  <si>
    <t>State Policy Network_Illinois Policy Institute20057500</t>
  </si>
  <si>
    <t>State Policy Network_Kansas Policy Institute200517500</t>
  </si>
  <si>
    <t>State Policy Network_Mackinac Center for Public Policy20054500</t>
  </si>
  <si>
    <t>State Policy Network_Maryland Public Policy Institute20057500</t>
  </si>
  <si>
    <t>State Policy Network_Nevada Policy Research Institute20057500</t>
  </si>
  <si>
    <t>State Policy Network_Pacific Research institute200550000</t>
  </si>
  <si>
    <t>Pacific Research institute</t>
  </si>
  <si>
    <t>State Policy Network_South Carolina Policy Council20057500</t>
  </si>
  <si>
    <t>State Policy Network_Texas Public Policy Foundation20053000</t>
  </si>
  <si>
    <t>State Policy Network_Cascade Policy Institute200212500</t>
  </si>
  <si>
    <t>State Policy Network_Commonwealth Foundation for Public Policy Alternatives20027500</t>
  </si>
  <si>
    <t>State Policy Network_Evergreen Freedom Foundation20025000</t>
  </si>
  <si>
    <t>State Policy Network_Great Plains Public Policy Institute20022500</t>
  </si>
  <si>
    <t>State Policy Network_Independence Institute20025000</t>
  </si>
  <si>
    <t>State Policy Network_Independence Institute20027500</t>
  </si>
  <si>
    <t>State Policy Network_James Madison Institute20022500</t>
  </si>
  <si>
    <t>State Policy Network_Maryland Public Policy Institute20025000</t>
  </si>
  <si>
    <t>State Policy Network_Public Interest Institute20026250</t>
  </si>
  <si>
    <t>State Policy Network_Rio Grande Foundation20025000</t>
  </si>
  <si>
    <t>State Policy Network_Rio Grande Foundation20027000</t>
  </si>
  <si>
    <t>State Policy Network_South Carolina Policy Council20025000</t>
  </si>
  <si>
    <t>State Policy Network_Thomas Jefferson Institute20027200</t>
  </si>
  <si>
    <t>State Policy Network_Washington Policy Center200218500</t>
  </si>
  <si>
    <t>State Policy Network_Wisconsin Policy Research Institute20027500</t>
  </si>
  <si>
    <t>https://projects.propublica.org/nonprofits/organizations/363461484/201621349349101267/IRS990PF</t>
  </si>
  <si>
    <t>https://projects.propublica.org/nonprofits/organizations/363461484/201521339349102522/IRS990PF</t>
  </si>
  <si>
    <t>https://projects.propublica.org/nonprofits/display_990/363461484/2014_05_PF%2F36-3461484_990PF_201312</t>
  </si>
  <si>
    <t>https://projects.propublica.org/nonprofits/display_990/363461484/2013_05_PF%2F36-3461484_990PF_201212</t>
  </si>
  <si>
    <t>https://projects.propublica.org/nonprofits/display_990/363461484/2012_05_PF%2F36-3461484_990PF_201112</t>
  </si>
  <si>
    <t>https://projects.propublica.org/nonprofits/display_990/363461484/2011_05_PF%2F36-3461484_990PF_201012</t>
  </si>
  <si>
    <t>https://projects.propublica.org/nonprofits/organizations/526039178/202300599349100300/IRS990PF</t>
  </si>
  <si>
    <t>https://projects.propublica.org/nonprofits/organizations/232732477/201812049349100406/IRS990PF</t>
  </si>
  <si>
    <t>https://projects.propublica.org/nonprofits/organizations/656238164/202301259349100915/IRS990PF</t>
  </si>
  <si>
    <t>https://projects.propublica.org/nonprofits/organizations/656238164/202241249349101974/IRS990PF</t>
  </si>
  <si>
    <t>https://projects.propublica.org/nonprofits/organizations/656238164/202101319349103070/IRS990PF</t>
  </si>
  <si>
    <t>https://projects.propublica.org/nonprofits/display_990/656238164/download990pdf_01_2022_prefixes_58-75%2F656238164_201912_990PF_2022012619549005</t>
  </si>
  <si>
    <t>https://projects.propublica.org/nonprofits/organizations/341903674/202341359349104779/IRS990PF</t>
  </si>
  <si>
    <t>https://projects.propublica.org/nonprofits/organizations/341903674/202203069349100205/IRS990PF</t>
  </si>
  <si>
    <t>https://projects.propublica.org/nonprofits/organizations/341903674/202142589349100204/IRS990PF</t>
  </si>
  <si>
    <t>https://projects.propublica.org/nonprofits/display_990/341903674/12_2020_prefixes_26-35%2F341903674_201912_990PF_2020120117459805</t>
  </si>
  <si>
    <t>https://projects.propublica.org/nonprofits/display_990/341903674/06_2019_prefixes_31-35%2F341903674_201812_990PF_2019061116401990</t>
  </si>
  <si>
    <t>https://projects.propublica.org/nonprofits/display_990/341903674/2017_05_PF%2F34-1903674_990PF_201612</t>
  </si>
  <si>
    <t>https://projects.propublica.org/nonprofits/display_990/341903674/2016_05_PF%2F34-1903674_990PF_201512</t>
  </si>
  <si>
    <t>https://projects.propublica.org/nonprofits/display_990/341903674/2015_05_PF%2F34-1903674_990PF_201412</t>
  </si>
  <si>
    <t>https://projects.propublica.org/nonprofits/display_990/341903674/2014_06_PF%2F34-1903674_990PF_201312</t>
  </si>
  <si>
    <t>https://projects.propublica.org/nonprofits/display_990/341903674/2013_05_PF%2F34-1903674_990PF_201212</t>
  </si>
  <si>
    <t>https://projects.propublica.org/nonprofits/display_990/341903674/2012_05_PF%2F34-1903674_990PF_201112</t>
  </si>
  <si>
    <t>https://projects.propublica.org/nonprofits/organizations/232888152/202331359349303108/IRS990ScheduleI</t>
  </si>
  <si>
    <t>https://projects.propublica.org/nonprofits/organizations/232888152/202211339349310116/IRS990ScheduleI</t>
  </si>
  <si>
    <t>https://projects.propublica.org/nonprofits/organizations/562069802/202311359349101866/IRS990PF</t>
  </si>
  <si>
    <t>https://projects.propublica.org/nonprofits/organizations/562069802/202221819349100702/IRS990PF</t>
  </si>
  <si>
    <t>https://projects.propublica.org/nonprofits/organizations/133441466/202223199349107147/IRS990PF</t>
  </si>
  <si>
    <t>https://projects.propublica.org/nonprofits/display_990/133441466/download990pdf_01_2022_prefixes_01-20%2F133441466_201912_990PF_2022012819581565</t>
  </si>
  <si>
    <t>https://projects.propublica.org/nonprofits/display_990/133441466/01_2020_prefixes_13-14%2F133441466_201812_990PF_2020012717072988</t>
  </si>
  <si>
    <t>https://projects.propublica.org/nonprofits/display_990/133441466/02_2019_prefixes_11-13%2F133441466_201712_990PF_2019020716072715</t>
  </si>
  <si>
    <t>https://projects.propublica.org/nonprofits/display_990/133441466/IRS%2F133441466_201612_990PF_2017112714978048</t>
  </si>
  <si>
    <t>https://projects.propublica.org/nonprofits/display_990/133441466/2015_11_PF%2F13-3441466_990PF_201412</t>
  </si>
  <si>
    <t>https://projects.propublica.org/nonprofits/organizations/811549862/202301309349103105/IRS990PF</t>
  </si>
  <si>
    <t>https://projects.propublica.org/nonprofits/organizations/811549862/202221329349101972/IRS990PF</t>
  </si>
  <si>
    <t>https://projects.propublica.org/nonprofits/organizations/811549862/202031979349101433/IRS990PF</t>
  </si>
  <si>
    <t>https://projects.propublica.org/nonprofits/organizations/811549862/201903129349100510/IRS990PF</t>
  </si>
  <si>
    <t>https://projects.propublica.org/nonprofits/organizations/956135603/201541599349100404/IRS990PF</t>
  </si>
  <si>
    <t>10K not 25K</t>
  </si>
  <si>
    <t>https://projects.propublica.org/nonprofits/organizations/731520309/202243189349105159/IRS990PF</t>
  </si>
  <si>
    <t>https://projects.propublica.org/nonprofits/organizations/731520309/202123199349103587/IRS990PF</t>
  </si>
  <si>
    <t>https://projects.propublica.org/nonprofits/organizations/731520309/202033219349105868/IRS990PF</t>
  </si>
  <si>
    <t>https://projects.propublica.org/nonprofits/organizations/731520309/201933199349103138/IRS990PF</t>
  </si>
  <si>
    <t>https://projects.propublica.org/nonprofits/organizations/731520309/201842349349100714/IRS990PF</t>
  </si>
  <si>
    <t>https://projects.propublica.org/nonprofits/organizations/731520309/201723189349100337/IRS990PF</t>
  </si>
  <si>
    <t>https://projects.propublica.org/nonprofits/organizations/731520309/201623209349104052/IRS990PF</t>
  </si>
  <si>
    <t>https://projects.propublica.org/nonprofits/organizations/731520309/201503209349100210/IRS990PF</t>
  </si>
  <si>
    <t>https://projects.propublica.org/nonprofits/display_990/731520309/2016_01_PF%2F73-1520309_990PF_201312</t>
  </si>
  <si>
    <t>https://projects.propublica.org/nonprofits/display_990/731520309/2013_12_PF%2F73-1520309_990PF_201212</t>
  </si>
  <si>
    <t>https://projects.propublica.org/nonprofits/display_990/731520309/2012_05_PF%2F73-1520309_990PF_201112</t>
  </si>
  <si>
    <t>https://projects.propublica.org/nonprofits/display_990/731520309/2011_05_PF%2F73-1520309_990PF_201012</t>
  </si>
  <si>
    <t>https://projects.propublica.org/nonprofits/display_990/731520309/2010_05_PF%2F73-1520309_990PF_200912</t>
  </si>
  <si>
    <t>https://projects.propublica.org/nonprofits/display_990/731520309/2009_04_PF%2F73-1520309_990PF_200812</t>
  </si>
  <si>
    <t>https://projects.propublica.org/nonprofits/organizations/205980265/202331329349102898/IRS990PF</t>
  </si>
  <si>
    <t>https://projects.propublica.org/nonprofits/organizations/205980265/202221329349103352/IRS990PF</t>
  </si>
  <si>
    <t>https://projects.propublica.org/nonprofits/organizations/205980265/202141329349101404/IRS990PF</t>
  </si>
  <si>
    <t>URL</t>
  </si>
  <si>
    <t/>
  </si>
  <si>
    <t>https://www.sourcewatch.org/index.php/Adolph_Coors_Foundation</t>
  </si>
  <si>
    <t>http://www.sourcewatch.org/index.php/Aequus_Foundation</t>
  </si>
  <si>
    <t>https://www.desmog.com/american-fuel-petrochemical-manufacturers-afpm/</t>
  </si>
  <si>
    <t>http://www.alecexposed.org/wiki/What_is_ALEC%3F</t>
  </si>
  <si>
    <t>https://www.desmogblog.com/americans-for-prosperity</t>
  </si>
  <si>
    <t>https://www.desmogblog.com/americans-tax-reform</t>
  </si>
  <si>
    <t>http://www.sourcewatch.org/index.php/Atlas_Economic_Research_Foundation</t>
  </si>
  <si>
    <t>https://www.sourcewatch.org/index.php/Bader_Family_Foundation</t>
  </si>
  <si>
    <t>http://www.sourcewatch.org/index.php/Seid_Foundation</t>
  </si>
  <si>
    <t>https://www.sourcewatch.org/index.php/Achelis_and_Bodman_Foundations</t>
  </si>
  <si>
    <t>https://www.sourcewatch.org/index.php/Bradley_Impact_Fund</t>
  </si>
  <si>
    <t>http://www.sourcewatch.org/index.php/Castle_Rock_Foundation</t>
  </si>
  <si>
    <t>https://www.sourcewatch.org/index.php/Center_for_Growth_and_Opportunity</t>
  </si>
  <si>
    <t>https://www.sourcewatch.org/index.php/Center_for_Independent_Employees</t>
  </si>
  <si>
    <t>http://www.sourcewatch.org/index.php/Koch_Family_Foundations</t>
  </si>
  <si>
    <t>https://www.desmogblog.com/koch-family-foundations</t>
  </si>
  <si>
    <t>http://www.sourcewatch.org/index.php/Chase_Foundation_of_Virginia</t>
  </si>
  <si>
    <t>https://www.sourcewatch.org/index.php/Diana_Davis_Spencer_Foundation</t>
  </si>
  <si>
    <t>https://www.desmogblog.com/donors-capital-fund</t>
  </si>
  <si>
    <t>http://desmogblog.com/who-donors-trust</t>
  </si>
  <si>
    <t>https://www.desmogblog.com/dunn-s-foundation-advancement-right-thinking</t>
  </si>
  <si>
    <t>https://www.sourcewatch.org/index.php/Ed_Uihlein_Family_Foundation</t>
  </si>
  <si>
    <t>https://www.desmogblog.com/edison-electric-institute</t>
  </si>
  <si>
    <t>https://www.sourcewatch.org/index.php/Edward_A._%26_Catherine_L._Lozick_Foundation</t>
  </si>
  <si>
    <t>https://www.sourcewatch.org/index.php/Farmer_Family_Foundation</t>
  </si>
  <si>
    <t>https://www.sourcewatch.org/index.php?title=Frankel_Family_Foundation</t>
  </si>
  <si>
    <t>http://www.sourcewatch.org/index.php/Friedman_Foundation_for_Educational_Choice</t>
  </si>
  <si>
    <t>https://www.sourcewatch.org/index.php/General_Electric</t>
  </si>
  <si>
    <t>https://www.sourcewatch.org/index.php/GFC_Foundation</t>
  </si>
  <si>
    <t>http://www.sourcewatch.org/index.php/Institute_for_Humane_Studies</t>
  </si>
  <si>
    <t>https://www.sourcewatch.org/index.php/Institute_for_Justice</t>
  </si>
  <si>
    <t>http://www.sourcewatch.org/index.php/Jaquelin_Hume_Foundation</t>
  </si>
  <si>
    <t>http://www.sourcewatch.org/index.php/JM_Foundation</t>
  </si>
  <si>
    <t>http://www.sourcewatch.org/index.php/John_M._Olin_Foundation</t>
  </si>
  <si>
    <t>http://www.sourcewatch.org/index.php/John_William_Pope_Foundation</t>
  </si>
  <si>
    <t>http://www.sourcewatch.org/index.php/Lovett_%26_Ruth_Peters_Foundation</t>
  </si>
  <si>
    <t>http://www.sourcewatch.org/index.php/Lowndes_Foundation</t>
  </si>
  <si>
    <t>http://www.sourcewatch.org/index.php/Lynde_and_Harry_Bradley_Foundation</t>
  </si>
  <si>
    <t>https://www.desmog.com/mercatus-center/</t>
  </si>
  <si>
    <t>https://www.desmogblog.com/mercer-family-foundation</t>
  </si>
  <si>
    <t>https://www.sourcewatch.org/index.php/Minneapolis_Foundation</t>
  </si>
  <si>
    <t>https://www.sourcewatch.org/index.php/Mywireless.org</t>
  </si>
  <si>
    <t>https://www.sourcewatch.org/index.php/National_Christian_Foundation</t>
  </si>
  <si>
    <t>https://www.sourcewatch.org/index.php/People_United_for_Privacy</t>
  </si>
  <si>
    <t>https://www.sourcewatch.org/index.php/Pfizer_Inc</t>
  </si>
  <si>
    <t>http://www.sourcewatch.org/index.php/Pharmaceutical_Research_and_Manufacturers_of_America</t>
  </si>
  <si>
    <t>https://www.sourcewatch.org/index.php/The_Policy_Circle</t>
  </si>
  <si>
    <t>http://www.sourcewatch.org/index.php/Rodney_Fund</t>
  </si>
  <si>
    <t>http://www.sourcewatch.org/index.php/Roe_Foundation</t>
  </si>
  <si>
    <t>https://www.desmogblog.com/scaife-family-foundations</t>
  </si>
  <si>
    <t>http://www.sourcewatch.org/index.php/Searle_Freedom_Trust</t>
  </si>
  <si>
    <t>https://www.sourcewatch.org/index.php/Seattle_Foundation</t>
  </si>
  <si>
    <t>https://www.desmog.com/shellknew/</t>
  </si>
  <si>
    <t>https://www.sourcewatch.org/index.php/Snider_Foundation</t>
  </si>
  <si>
    <t>https://www.desmogblog.com/state-policy-network</t>
  </si>
  <si>
    <t>https://www.desmogblog.com/thirteen-foundation</t>
  </si>
  <si>
    <t>http://www.sourcewatch.org/index.php/Thomas_B._Fordham_Foundation</t>
  </si>
  <si>
    <t>https://www.sourcewatch.org/index.php/Thomas_W._Smith_Foundation</t>
  </si>
  <si>
    <t>http://www.sourcewatch.org/index.php/Vernon_K._Krieble_Foundation</t>
  </si>
  <si>
    <t>https://www.sourcewatch.org/index.php/Walton_Family_Foundation</t>
  </si>
  <si>
    <t>http://www.sourcewatch.org/index.php/William_H._Donner_Foundation</t>
  </si>
  <si>
    <t>Atlanta Marriott Marquis</t>
  </si>
  <si>
    <t>Mvp Press</t>
  </si>
  <si>
    <t>Passing Lane Films</t>
  </si>
  <si>
    <t>The Morning Consult</t>
  </si>
  <si>
    <t>Heartmind Strategies LLC</t>
  </si>
  <si>
    <t>Davidson &amp; Company</t>
  </si>
  <si>
    <t>https://www.sourcewatch.org/index.php/Alaska_Policy_Forum</t>
  </si>
  <si>
    <t>https://www.sourcewatch.org/index.php/Badger_Institute</t>
  </si>
  <si>
    <t>http://www.sourcewatch.org/index.php/Beacon_Center_of_Tennessee</t>
  </si>
  <si>
    <t>http://www.sourcewatch.org/index.php/California_Public_Policy_Center</t>
  </si>
  <si>
    <t>https://www.sourcewatch.org/index.php/Cardinal_Institute</t>
  </si>
  <si>
    <t>http://www.sourcewatch.org/index.php/Cascade_Policy_Institute</t>
  </si>
  <si>
    <t>https://www.sourcewatch.org/index.php/Center_for_Law_and_Policy</t>
  </si>
  <si>
    <t>https://www.desmogblog.com/center-american-experiment</t>
  </si>
  <si>
    <t>http://www.sourcewatch.org/index.php/Commonwealth_Foundation</t>
  </si>
  <si>
    <t>http://www.sourcewatch.org/index.php/Empire_Center_for_New_York_State_Policy</t>
  </si>
  <si>
    <t>http://www.sourcewatch.org/index.php/Foundation_for_Government_Accountability</t>
  </si>
  <si>
    <t>http://www.sourcewatch.org/index.php/Evergreen_Freedom_Foundation</t>
  </si>
  <si>
    <t>http://www.sourcewatch.org/index.php/Georgia_Center_for_Opportunity</t>
  </si>
  <si>
    <t>http://www.sourcewatch.org/index.php/Georgia_Public_Policy_Foundation</t>
  </si>
  <si>
    <t>http://www.sourcewatch.org/index.php/Goldwater_Institute</t>
  </si>
  <si>
    <t>http://www.sourcewatch.org/index.php/Grassroot_Institute_of_Hawaii</t>
  </si>
  <si>
    <t>http://www.sourcewatch.org/index.php/Illinois_Policy_Institute</t>
  </si>
  <si>
    <t>http://www.sourcewatch.org/index.php/Independence_Institute</t>
  </si>
  <si>
    <t>https://www.sourcewatch.org/index.php/Institute_for_Reforming_Government</t>
  </si>
  <si>
    <t>https://www.sourcewatch.org/index.php/Iowans_for_Tax_Relief_Foundation</t>
  </si>
  <si>
    <t>http://www.sourcewatch.org/index.php/John_Locke_Foundation</t>
  </si>
  <si>
    <t>http://www.sourcewatch.org/index.php/Josiah_Bartlett_Center_for_Public_Policy</t>
  </si>
  <si>
    <t>http://www.sourcewatch.org/index.php/Kansas_Policy_Institute</t>
  </si>
  <si>
    <t>https://www.sourcewatch.org/index.php/Libertas_Institute</t>
  </si>
  <si>
    <t>http://www.sourcewatch.org/index.php/Mackinac_Center_for_Public_Policy</t>
  </si>
  <si>
    <t>http://www.sourcewatch.org/index.php/Mississippi_Center_for_Public_Policy</t>
  </si>
  <si>
    <t>http://www.sourcewatch.org/index.php/Oklahoma_Council_of_Public_Affairs</t>
  </si>
  <si>
    <t>https://www.sourcewatch.org/index.php/Palmetto_Promise_Institute</t>
  </si>
  <si>
    <t>http://www.sourcewatch.org/index.php/Pelican_Institute</t>
  </si>
  <si>
    <t>http://www.sourcewatch.org/index.php/Pioneer_Institute_for_Public_Policy_Research</t>
  </si>
  <si>
    <t>http://www.sourcewatch.org/index.php/Platte_Institute_for_Economic_Research</t>
  </si>
  <si>
    <t>http://www.sourcewatch.org/index.php/South_Carolina_Policy_Council</t>
  </si>
  <si>
    <t>http://www.sourcewatch.org/index.php/Texas_Public_Policy_Foundation</t>
  </si>
  <si>
    <t>http://www.sourcewatch.org/index.php/Buckeye_Institute_for_Public_Policy_Solutions</t>
  </si>
  <si>
    <t>http://www.sourcewatch.org/index.php/James_Madison_Institute</t>
  </si>
  <si>
    <t>http://www.sourcewatch.org/index.php/Show-Me_Institute</t>
  </si>
  <si>
    <t>http://www.sourcewatch.org/index.php/Thomas_Jefferson_Institute_for_Public_Policy</t>
  </si>
  <si>
    <t>https://www.sourcewatch.org/index.php/Wisconsin_Institute_for_Law_%26_Liberty</t>
  </si>
  <si>
    <t>https://www.sourcewatch.org/index.php/Yankee_Institute_for_Public_Policy</t>
  </si>
  <si>
    <t>Jw Marriott Orlando Grande Lakes</t>
  </si>
  <si>
    <t>Stephen Clouse &amp; Associates</t>
  </si>
  <si>
    <t>Morgan Meredith &amp; Associates</t>
  </si>
  <si>
    <t>https://www.sourcewatch.org/index.php/Empower_Mississippi</t>
  </si>
  <si>
    <t>https://www.sourcewatch.org/index.php/Maine_Policy_Institute</t>
  </si>
  <si>
    <t>http://www.sourcewatch.org/index.php/Alabama_Policy_Institute</t>
  </si>
  <si>
    <t>https://www.sourcewatch.org/index.php/Talent_Market</t>
  </si>
  <si>
    <t>http://www.sourcewatch.org/index.php/Civitas</t>
  </si>
  <si>
    <t>https://www.sourcewatch.org/index.php/Americans_for_Fair_Treatment</t>
  </si>
  <si>
    <t>https://www.sourcewatch.org/index.php/Ballotpedia</t>
  </si>
  <si>
    <t>http://www.sourcewatch.org/index.php/Maine_Heritage_Policy_Center</t>
  </si>
  <si>
    <t>https://www.sourcewatch.org/index.php/Liberty_Justice_Center</t>
  </si>
  <si>
    <t>http://www.sourcewatch.org/index.php/Idaho_Freedom_Foundation</t>
  </si>
  <si>
    <t>https://www.sourcewatch.org/index.php/Garden_State_Initiative</t>
  </si>
  <si>
    <t>http://www.sourcewatch.org/index.php/Bluegrass_Institute_for_Public_Policy_Solutions</t>
  </si>
  <si>
    <t>https://www.sourcewatch.org/index.php/Association_of_American_Educators</t>
  </si>
  <si>
    <t>American Philanthropic</t>
  </si>
  <si>
    <t>Clearword Communications</t>
  </si>
  <si>
    <t>Engage</t>
  </si>
  <si>
    <t>Heart Mind Strategies</t>
  </si>
  <si>
    <t>Linkage Consulting</t>
  </si>
  <si>
    <t>http://www.sourcewatch.org/index.php/Nevada_Policy_Research_Institute</t>
  </si>
  <si>
    <t>Political Capital</t>
  </si>
  <si>
    <t>http://www.sourcewatch.org/index.php/Rhode_Island_Center_for_Freedom_and_Prosperity</t>
  </si>
  <si>
    <t>http://www.sourcewatch.org/index.php/Sutherland_Institute</t>
  </si>
  <si>
    <t>http://www.sourcewatch.org/index.php/Washington_Policy_Center</t>
  </si>
  <si>
    <t>Avenue Strategies</t>
  </si>
  <si>
    <t>https://www.sourcewatch.org/index.php/Civitas_Institute</t>
  </si>
  <si>
    <t>Emergent Order</t>
  </si>
  <si>
    <t>Employment Policies Institute</t>
  </si>
  <si>
    <t>https://www.sourcewatch.org/index.php/Employment_Policies_Institute</t>
  </si>
  <si>
    <t>http://www.sourcewatch.org/index.php/Maryland_Public_Policy_Institute</t>
  </si>
  <si>
    <t>https://www.sourcewatch.org/index.php/Arkansas_Policy_Foundation</t>
  </si>
  <si>
    <t>https://www.sourcewatch.org/index.php/MacIver_Institute</t>
  </si>
  <si>
    <t>http://www.sourcewatch.org/index.php/Pacific_Research_Institute</t>
  </si>
  <si>
    <t>Part Two Events</t>
  </si>
  <si>
    <t>https://www.sourcewatch.org/index.php/America's_Future_Foundation</t>
  </si>
  <si>
    <t>http://www.sourcewatch.org/index.php/Montana_Policy_Institute</t>
  </si>
  <si>
    <t>https://www.sourcewatch.org/index.php/Grassroot_Institute_of_Hawaii</t>
  </si>
  <si>
    <t>http://www.sourcewatch.org/index.php/Advance_Arkansas_Institute</t>
  </si>
  <si>
    <t>http://www.sourcewatch.org/index.php/MacIver_Institute</t>
  </si>
  <si>
    <t>http://www.sourcewatch.org/index.php/Rio_Grande_Foundation</t>
  </si>
  <si>
    <t>https://www.sourcewatch.org/index.php/Spark_Freedom</t>
  </si>
  <si>
    <t>https://www.sourcewatch.org/index.php/1851_Center_for_Constitutional_Law</t>
  </si>
  <si>
    <t>http://www.sourcewatch.org/index.php/Ethan_Allen_Institute</t>
  </si>
  <si>
    <t>https://www.desmogblog.com/freedom-foundation-minnesota</t>
  </si>
  <si>
    <t>http://www.sourcewatch.org/index.php/Liberty_Foundation_of_America</t>
  </si>
  <si>
    <t>http://www.sourcewatch.org/index.php/Opportunity_Ohio</t>
  </si>
  <si>
    <t>https://www.desmogblog.com/franklin-centre-government-and-public-integrity</t>
  </si>
  <si>
    <t>http://www.sourcewatch.org/index.php/Manhattan_Institute_for_Policy_Research</t>
  </si>
  <si>
    <t>http://www.sourcewatch.org/index.php/North_Dakota_Policy_Council</t>
  </si>
  <si>
    <t>http://www.sourcewatch.org/index.php/Texas_Conservative_Coalition_Research_Institute</t>
  </si>
  <si>
    <t>http://www.sourcewatch.org/index.php/True_the_Vote</t>
  </si>
  <si>
    <t>http://www.sourcewatch.org/index.php/Wyoming_Policy_Institute</t>
  </si>
  <si>
    <t>https://www.desmogblog.com/beacon-hill-institute</t>
  </si>
  <si>
    <t>http://www.sourcewatch.org/index.php/Caesar_Rodney_Institute</t>
  </si>
  <si>
    <t>https://www.sourcewatch.org/index.php/Pelican_Institute</t>
  </si>
  <si>
    <t>http://www.sourcewatch.org/index.php/Solutions_for_New_Jersey,_Inc.</t>
  </si>
  <si>
    <t>http://www.sourcewatch.org/index.php/Arkansas_Policy_Foundation</t>
  </si>
  <si>
    <t>http://www.sourcewatch.org/index.php/Common_Sense_Institute</t>
  </si>
  <si>
    <t>http://www.sourcewatch.org/index.php/Virginia_Institute_for_Public_Policy</t>
  </si>
  <si>
    <t>http://www.sourcewatch.org/index.php/Wyoming_Liberty_Group</t>
  </si>
  <si>
    <t>http://www.sourcewatch.org/index.php/Sam_Adams_Alliance</t>
  </si>
  <si>
    <t>http://www.sourcewatch.org/index.php/Texas_Watchdog</t>
  </si>
  <si>
    <t>https://www.sourcewatch.org/index.php/Louisiana_Family_Forum</t>
  </si>
  <si>
    <t>http://www.sourcewatch.org/index.php/Public_Interest_Institute</t>
  </si>
  <si>
    <t>http://www.sourcewatch.org/index.php/Public_Policy_Foundation_of_West_Virginia</t>
  </si>
  <si>
    <t>https://www.sourcewatch.org/index.php/Beacon_Center_of_Tennessee</t>
  </si>
  <si>
    <t>http://www.sourcewatch.org/index.php/Wisconsin_Policy_Research_Institute</t>
  </si>
  <si>
    <t>https://www.sourcewatch.org/index.php/Kansas_Policy_Institute</t>
  </si>
  <si>
    <t>http://www.sourcewatch.org/index.php/Great_Plains_Public_Policy_Institute</t>
  </si>
  <si>
    <t>Year</t>
  </si>
  <si>
    <t>Donor</t>
  </si>
  <si>
    <t>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</si>
</sst>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_(&quot;$&quot;* #,##0_);_(&quot;$&quot;* \(#,##0\);_(&quot;$&quot;* &quot;-&quot;??_);_(@_)"/>
  </numFmts>
  <fonts count="10" x14ac:knownFonts="1">
    <font>
      <sz val="12"/>
      <color theme="1"/>
      <name val="Calibri"/>
      <scheme val="minor"/>
    </font>
    <font>
      <b/>
      <sz val="24"/>
      <color theme="1"/>
      <name val="Calibri"/>
      <family val="2"/>
    </font>
    <font>
      <u/>
      <sz val="18"/>
      <color theme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6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14" fontId="3" fillId="0" borderId="0" xfId="0" applyNumberFormat="1" applyFont="1"/>
    <xf numFmtId="0" fontId="0" fillId="0" borderId="0" xfId="0"/>
  </cellXfs>
  <cellStyles count="1">
    <cellStyle name="Normal" xfId="0" builtinId="0"/>
  </cellStyles>
  <dxfs count="2">
    <dxf>
      <numFmt numFmtId="165" formatCode="_(&quot;$&quot;* #,##0_);_(&quot;$&quot;* \(#,##0\);_(&quot;$&quot;* &quot;-&quot;??_);_(@_)"/>
    </dxf>
    <dxf>
      <numFmt numFmtId="165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52.476542129632" createdVersion="8" refreshedVersion="8" minRefreshableVersion="3" recordCount="1853" xr:uid="{EABED5EE-B758-C94A-809A-97046E75A636}">
  <cacheSource type="worksheet">
    <worksheetSource ref="A1:I1048576" sheet="Data"/>
  </cacheSource>
  <cacheFields count="9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year" numFmtId="0">
      <sharedItems containsBlank="1" count="1080">
        <s v="A P Kirby Jr Foundation_2022"/>
        <s v="A P Kirby Jr Foundation_2019"/>
        <s v="A P Kirby Jr Foundation_2018"/>
        <s v="A P Kirby Jr Foundation_2017"/>
        <s v="A P Kirby Jr Foundation_2016"/>
        <s v="A P Kirby Jr Foundation_2015"/>
        <s v="A P Kirby Jr Foundation_2014"/>
        <s v="A P Kirby Jr Foundation_2013"/>
        <s v="A P Kirby Jr Foundation_2012"/>
        <s v="A P Kirby Jr Foundation_2011"/>
        <s v="A P Kirby Jr Foundation_2010"/>
        <s v="A P Kirby Jr Foundation_2009"/>
        <s v="A P Kirby Jr Foundation_2008"/>
        <s v="A P Kirby Jr Foundation_2007"/>
        <s v="A P Kirby Jr Foundation_2006"/>
        <s v="A P Kirby Jr Foundation_2005"/>
        <s v="A P Kirby Jr Foundation_2004"/>
        <s v="A P Kirby Jr Foundation_2003"/>
        <s v="Acts 4 32 34_2022"/>
        <s v="Acts 4 32 34_2021"/>
        <s v="Acts 4 32 34_2020"/>
        <s v="Acts 4 32 34_2019"/>
        <s v="Acts 4 32 34_2018"/>
        <s v="Acts 4 32 34_2017"/>
        <s v="Adolph Coors Foundation_2022"/>
        <s v="Adolph Coors Foundation_2021"/>
        <s v="Adolph Coors Foundation_2020"/>
        <s v="Adolph Coors Foundation_2019"/>
        <s v="Adolph Coors Foundation_2018"/>
        <s v="Adolph Coors Foundation_2017"/>
        <s v="Adolph Coors Foundation_2016"/>
        <s v="Adolph Coors Foundation_2014"/>
        <s v="Adolph Coors Foundation_2012"/>
        <s v="Aequus Institute_2012"/>
        <s v="Aequus Institute_2010"/>
        <s v="Aequus Institute_2001"/>
        <s v="Aequus Institute_2000"/>
        <s v="Al &amp; Peggy Dematteis Family Foundation_2021"/>
        <s v="Alpaugh Foundation_2022"/>
        <s v="Alpaugh Foundation_2021"/>
        <s v="Alpaugh Foundation_2020"/>
        <s v="Alpaugh Foundation_2019"/>
        <s v="Alpaugh Foundation_2017"/>
        <s v="Alpaugh Foundation_2016"/>
        <s v="Alpaugh Foundation_2014"/>
        <s v="Alpaugh Foundation_2013"/>
        <s v="Alpaugh Foundation_2012"/>
        <s v="Alpaugh Foundation_2011"/>
        <s v="Alpaugh Foundation_2010"/>
        <s v="Alta and John Franks Foundation_2021"/>
        <s v="Alta and John Franks Foundation_2020"/>
        <s v="Alta and John Franks Foundation_2019"/>
        <s v="Alton Family Foundation_2021"/>
        <s v="Amaturo Family Foundation_2021"/>
        <s v="Amaturo Family Foundation_2020"/>
        <s v="Amaturo Family Foundation_2019"/>
        <s v="Amaturo Family Foundation_2017"/>
        <s v="Amaturo Family Foundation_2016"/>
        <s v="Amaturo Family Foundation_2014"/>
        <s v="Amaturo Family Foundation_2013"/>
        <s v="American Endowment Foundation_2021"/>
        <s v="American Endowment Foundation_2018"/>
        <s v="American Endowment Foundation_2015"/>
        <s v="American Fuel and Petrochemical Manufacturers_2021"/>
        <s v="American Fuel and Petrochemical Manufacturers_2019"/>
        <s v="American Fuel and Petrochemical Manufacturers_2018"/>
        <s v="American Fuel and Petrochemical Manufacturers_2017"/>
        <s v="American Legislative Exchange Council_2013"/>
        <s v="American Legislative Exchange Council_2012"/>
        <s v="Americans for Prosperity Foundation_2012"/>
        <s v="Americans for Tax Reform Foundation_2002"/>
        <s v="Anna Paulina Foundation_2017"/>
        <s v="Anna Paulina Foundation_2010"/>
        <s v="Arizona State University Foundation for a New American University_2020"/>
        <s v="Armstrong Foundation_2021"/>
        <s v="Armstrong Foundation_2020"/>
        <s v="Armstrong Foundation_2019"/>
        <s v="Armstrong Foundation_2018"/>
        <s v="Armstrong Foundation_2017"/>
        <s v="Armstrong Foundation_2016"/>
        <s v="Armstrong Foundation_2015"/>
        <s v="Armstrong Foundation_2014"/>
        <s v="Armstrong Foundation_2013"/>
        <s v="Armstrong Foundation_2012"/>
        <s v="Armstrong Foundation_2011"/>
        <s v="Armstrong Foundation_2010"/>
        <s v="Armstrong Foundation_2009"/>
        <s v="Armstrong Foundation_2008"/>
        <s v="Armstrong Foundation_2007"/>
        <s v="Arthur L &amp; Lily D Walters Foundation_2015"/>
        <s v="Atlas Economic Research Foundation_2014"/>
        <s v="Atlas Economic Research Foundation_2013"/>
        <s v="Bader Family Foundation_2020"/>
        <s v="Bader Family Foundation_2019"/>
        <s v="Bader Family Foundation_2018"/>
        <s v="Bailey Family Foundation_2021"/>
        <s v="Bailey Family Foundation_2020"/>
        <s v="Bailey Family Foundation_2019"/>
        <s v="Bailey Family Foundation_2018"/>
        <s v="Bailey Family Foundation_2017"/>
        <s v="Bailey Family Foundation_2016"/>
        <s v="Bailey Family Foundation_2015"/>
        <s v="Bailey Family Foundation_2014"/>
        <s v="Bailey Family Foundation_2013"/>
        <s v="Bailey Family Foundation_2012"/>
        <s v="Bailey Family Foundation_2011"/>
        <s v="Bane Foundation_2019"/>
        <s v="Bank of America Charitable Foundation_2020"/>
        <s v="Bank of America Charitable Foundation_2019"/>
        <s v="Bank of America Charitable Foundation_2017"/>
        <s v="Bank of America Charitable Foundation_2015"/>
        <s v="Barbara and Barre Seid Foundation_2006"/>
        <s v="Barney Family Foundation_2019"/>
        <s v="Barney Family Foundation_2018"/>
        <s v="Barney Family Foundation_2017"/>
        <s v="Barney Family Foundation_2016"/>
        <s v="Barney Family Foundation_2015"/>
        <s v="Barney Family Foundation_2014"/>
        <s v="Barney Family Foundation_2013"/>
        <s v="Barney Family Foundation_2012"/>
        <s v="Beach Foundation_2021"/>
        <s v="Beach Foundation_2020"/>
        <s v="Beth and Ravenel Curry Foundation_2022"/>
        <s v="Black Family Foundation_2014"/>
        <s v="Bodman Foundation_2004"/>
        <s v="Bodman Foundation_2002"/>
        <s v="Bradley Impact Fund_2021"/>
        <s v="Bradley Impact Fund_2018"/>
        <s v="Bradley Impact Fund_2017"/>
        <s v="Bradley Impact Fund_2015"/>
        <s v="Bradley Impact Fund_2014"/>
        <s v="Bradley Impact Fund_2013"/>
        <s v="Brian &amp; Joelle Kelly Family Foundation_2021"/>
        <s v="Brian &amp; Joelle Kelly Family Foundation_2016"/>
        <s v="Brian &amp; Joelle Kelly Family Foundation_2012"/>
        <s v="Brian &amp; Joelle Kelly Family Foundation_2011"/>
        <s v="Briggs Foundation_2019"/>
        <s v="C &amp; N Foundation_2017"/>
        <s v="C &amp; N Foundation_2016"/>
        <s v="C and A Johnson Family Foundation_2022"/>
        <s v="C and A Johnson Family Foundation_2021"/>
        <s v="C and A Johnson Family Foundation_2020"/>
        <s v="C and A Johnson Family Foundation_2019"/>
        <s v="C and A Johnson Family Foundation_2018"/>
        <s v="Caridad Corporation_2021"/>
        <s v="Castle Rock Foundation_2010"/>
        <s v="Castle Rock Foundation_2009"/>
        <s v="Castle Rock Foundation_2007"/>
        <s v="Castle Rock Foundation_2005"/>
        <s v="Castle Rock Foundation_2002"/>
        <s v="Catherine V and Martin Hofmann Foundation_2021"/>
        <s v="Catherine V and Martin Hofmann Foundation_2020"/>
        <s v="Catherine V and Martin Hofmann Foundation_2019"/>
        <s v="Catherine V and Martin Hofmann Foundation_2018"/>
        <s v="Catherine V and Martin Hofmann Foundation_2017"/>
        <s v="Catherine V and Martin Hofmann Foundation_2016"/>
        <s v="Catherine V and Martin Hofmann Foundation_2015"/>
        <s v="Catherine V and Martin Hofmann Foundation_2014"/>
        <s v="Catherine V and Martin Hofmann Foundation_2013"/>
        <s v="Center for Growth and Opportunity_2018"/>
        <s v="Center for Independent Employees_2015"/>
        <s v="Challenge Foundation_2021"/>
        <s v="Challenge Foundation_2020"/>
        <s v="Challenge Foundation_2019"/>
        <s v="Challenge Foundation_2018"/>
        <s v="Charles G Koch Charitable Foundation_2021"/>
        <s v="Charles G Koch Charitable Foundation_2020"/>
        <s v="Charles G Koch Charitable Foundation_2019"/>
        <s v="Charles G Koch Charitable Foundation_2017"/>
        <s v="Charles G Koch Charitable Foundation_2016"/>
        <s v="Charles G Koch Charitable Foundation_2015"/>
        <s v="Charles G Koch Charitable Foundation_2014"/>
        <s v="Charles G Koch Charitable Foundation_2012"/>
        <s v="Charles Koch Institute_2018"/>
        <s v="Charles Koch Institute_2016"/>
        <s v="Charles Koch Institute_2015"/>
        <s v="Chase Foundation of Virginia_2021"/>
        <s v="Chase Foundation of Virginia_2020"/>
        <s v="Chase Foundation of Virginia_2019"/>
        <s v="Chase Foundation of Virginia_2018"/>
        <s v="Chase Foundation of Virginia_2017"/>
        <s v="Chase Foundation of Virginia_2016"/>
        <s v="Chase Foundation of Virginia_2015"/>
        <s v="Chase Foundation of Virginia_2014"/>
        <s v="Chase Foundation of Virginia_2013"/>
        <s v="Chase Foundation of Virginia_2012"/>
        <s v="Chase Foundation of Virginia_2011"/>
        <s v="Chase Foundation of Virginia_2010"/>
        <s v="Chase Foundation of Virginia_2009"/>
        <s v="Chase Foundation of Virginia_2006"/>
        <s v="Chase Foundation of Virginia_2005"/>
        <s v="Chase Foundation of Virginia_2004"/>
        <s v="Chase Foundation of Virginia_2003"/>
        <s v="Chase Foundation of Virginia_2002"/>
        <s v="Chase Foundation of Virginia_2001"/>
        <s v="Chiaroscuro Foundation_2013"/>
        <s v="Chiavacci Family Foundation_2021"/>
        <s v="Claude R Lambe Charitable Foundation_2011"/>
        <s v="Claude R Lambe Charitable Foundation_2006"/>
        <s v="Claude R Lambe Charitable Foundation_2005"/>
        <s v="Claude R Lambe Charitable Foundation_2004"/>
        <s v="Claude R Lambe Charitable Foundation_2002"/>
        <s v="Coalition for The New Economy_2015"/>
        <s v="Community Foundation of New Jersey_2021"/>
        <s v="Community Foundation of New Jersey_2020"/>
        <s v="Community Foundation of the Holland Zeeland Area_2021"/>
        <s v="Constructive Management Foundation_2021"/>
        <s v="Constructive Management Foundation_2020"/>
        <s v="Constructive Management Foundation_2018"/>
        <s v="Constructive Management Foundation_2017"/>
        <s v="Constructive Management Foundation_2016"/>
        <s v="Constructive Management Foundation_2004"/>
        <s v="Constructive Management Foundation_2002"/>
        <s v="Constructive Management Foundation_2001"/>
        <s v="Crawford Family Foundation_2018"/>
        <s v="Crawford Family Foundation_2017"/>
        <s v="Crawford Family Foundation_2016"/>
        <s v="Crawford Family Foundation_2015"/>
        <s v="Crawford Family Foundation_2014"/>
        <s v="Crawford Family Foundation_2013"/>
        <s v="Crawford Family Foundation_2012"/>
        <s v="Culpepper Family Foundation_2021"/>
        <s v="D M Schneider Foundation_2022"/>
        <s v="D M Schneider Foundation_2021"/>
        <s v="D M Schneider Foundation_2020"/>
        <s v="David R and Rachel R Eidelman Family Foundation_2018"/>
        <s v="Deramus Foundation_2011"/>
        <s v="Dettmer Family Foundation_2022"/>
        <s v="Dettmer Family Foundation_2021"/>
        <s v="Dettmer Family Foundation_2020"/>
        <s v="Dettmer Family Foundation_2019"/>
        <s v="Dettmer Family Foundation_2018"/>
        <s v="Dettmer Family Foundation_2016"/>
        <s v="Dettmer Family Foundation_2015"/>
        <s v="Dettmer Family Foundation_2014"/>
        <s v="Diana Davis Spencer Foundation_2020"/>
        <s v="Diana Davis Spencer Foundation_2019"/>
        <s v="Diana Davis Spencer Foundation_2018"/>
        <s v="Diana Davis Spencer Foundation_2017"/>
        <s v="Diana Davis Spencer Foundation_2015"/>
        <s v="Diana Davis Spencer Foundation_2014"/>
        <s v="Diana Davis Spencer Foundation_2013"/>
        <s v="Diana Davis Spencer Foundation_2011"/>
        <s v="Diana Davis Spencer Foundation_2010"/>
        <s v="Dodge Jones Foundation_2017"/>
        <s v="Dodge Jones Foundation_2015"/>
        <s v="Dodge Jones Foundation_2014"/>
        <s v="Dodge Jones Foundation_2013"/>
        <s v="Dodge Jones Foundation_2012"/>
        <s v="Dodge Jones Foundation_2011"/>
        <s v="Dodge Jones Foundation_2010"/>
        <s v="Dodge Jones Foundation_2009"/>
        <s v="Donald L &amp; Valerie D Gottschalk Foundation_2022"/>
        <s v="Donald L &amp; Valerie D Gottschalk Foundation_2021"/>
        <s v="Donald L &amp; Valerie D Gottschalk Foundation_2020"/>
        <s v="Donald L &amp; Valerie D Gottschalk Foundation_2019"/>
        <s v="Donald L &amp; Valerie D Gottschalk Foundation_2018"/>
        <s v="Donors Capital Fund_2020"/>
        <s v="Donors Capital Fund_2017"/>
        <s v="Donors Capital Fund_2016"/>
        <s v="Donors Capital Fund_2015"/>
        <s v="Donors Capital Fund_2014"/>
        <s v="Donors Capital Fund_2013"/>
        <s v="Donors Capital Fund_2012"/>
        <s v="Donors Capital Fund_2011"/>
        <s v="Donors Capital Fund_2010"/>
        <s v="Donors Capital Fund_2009"/>
        <s v="Donors Capital Fund_2008"/>
        <s v="Donors Capital Fund_2007"/>
        <s v="Donors Capital Fund_2005"/>
        <s v="Donors Capital Fund_2004"/>
        <s v="Donors Capital Fund_2003"/>
        <s v="Donors Capital Fund_2002"/>
        <s v="DonorsTrust_2022"/>
        <s v="DonorsTrust_2021"/>
        <s v="DonorsTrust_2020"/>
        <s v="DonorsTrust_2019"/>
        <s v="DonorsTrust_2018"/>
        <s v="DonorsTrust_2017"/>
        <s v="DonorsTrust_2016"/>
        <s v="DonorsTrust_2015"/>
        <s v="DonorsTrust_2014"/>
        <s v="DonorsTrust_2013"/>
        <s v="DonorsTrust_2012"/>
        <s v="DonorsTrust_2011"/>
        <s v="DonorsTrust_2010"/>
        <s v="DonorsTrust_2009"/>
        <s v="DonorsTrust_2008"/>
        <s v="DonorsTrust_2007"/>
        <s v="DonorsTrust_2006"/>
        <s v="DonorsTrust_2005"/>
        <s v="DonorsTrust_2004"/>
        <s v="DonorsTrust_2002"/>
        <s v="Donovan Family Foundation_2022"/>
        <s v="Donovan Family Foundation_2021"/>
        <s v="Donovan Family Foundation_2020"/>
        <s v="Donovan Family Foundation_2018"/>
        <s v="Dunn's Foundation for Advancement of Right Thinking_2021"/>
        <s v="Dunn's Foundation for Advancement of Right Thinking_2020"/>
        <s v="Dunn's Foundation for Advancement of Right Thinking_2019"/>
        <s v="Dunn's Foundation for Advancement of Right Thinking_2018"/>
        <s v="Dunn's Foundation for Advancement of Right Thinking_2016"/>
        <s v="Dunn's Foundation for Advancement of Right Thinking_2012"/>
        <s v="Dunn's Foundation for Advancement of Right Thinking_2010"/>
        <s v="Dupage Community Foundation_2020"/>
        <s v="Dupage Community Foundation_2019"/>
        <s v="Dupage Community Foundation_2017"/>
        <s v="E L Craig Foundation_2004"/>
        <s v="Earl W and Hildagunda A Brinkman Private Charitable Foundation_2022"/>
        <s v="Ed Foundation_2008"/>
        <s v="Ed Uihlein Family Foundation_2015"/>
        <s v="Edison Electric Institute_2018"/>
        <s v="Edison Electric Institute_2016"/>
        <s v="Edison Electric Institute_2014"/>
        <s v="Education Freedom Alliance_2017"/>
        <s v="Edward A &amp; Catherine L Lozick Foundation_2021"/>
        <s v="Edward A &amp; Catherine L Lozick Foundation_2020"/>
        <s v="Edward A &amp; Catherine L Lozick Foundation_2019"/>
        <s v="Edward A &amp; Catherine L Lozick Foundation_2016"/>
        <s v="Edward and Wilhelmina Ackerman Foundation_2016"/>
        <s v="Edward and Wilhelmina Ackerman Foundation_2015"/>
        <s v="Edward and Wilhelmina Ackerman Foundation_2014"/>
        <s v="Edward and Wilhelmina Ackerman Foundation_2013"/>
        <s v="Eric Javits Family Foundation_2022"/>
        <s v="Eric Javits Family Foundation_2021"/>
        <s v="Eric Javits Family Foundation_2020"/>
        <s v="Eric Javits Family Foundation_2019"/>
        <s v="Eric Javits Family Foundation_2018"/>
        <s v="Eric Javits Family Foundation_2017"/>
        <s v="Eric Javits Family Foundation_2016"/>
        <s v="Eric Javits Family Foundation_2015"/>
        <s v="Eric Javits Family Foundation_2014"/>
        <s v="Eric Javits Family Foundation_2013"/>
        <s v="Eric Javits Family Foundation_2012"/>
        <s v="Eric Javits Family Foundation_2011"/>
        <s v="Eric Javits Family Foundation_2010"/>
        <s v="Eric Javits Family Foundation_2009"/>
        <s v="Eric Javits Family Foundation_2008"/>
        <s v="Ewing Marion Kauffman Foundation_2017"/>
        <s v="Farmer Family Foundation_2018"/>
        <s v="Farrell Family Foundation_2021"/>
        <s v="Farrell Family Foundation_2020"/>
        <s v="Farrell Family Foundation_2019"/>
        <s v="Farrell Family Foundation_2016"/>
        <s v="Farrell Family Foundation_2015"/>
        <s v="Farrell Family Foundation_2013"/>
        <s v="Fidelity Investments Charitable Gift Fund_2022"/>
        <s v="Fidelity Investments Charitable Gift Fund_2021"/>
        <s v="Fidelity Investments Charitable Gift Fund_2020"/>
        <s v="Fidelity Investments Charitable Gift Fund_2019"/>
        <s v="Fidelity Investments Charitable Gift Fund_2018"/>
        <s v="Florence and Gordon Holland Family Foundation_2021"/>
        <s v="Florence and Gordon Holland Family Foundation_2020"/>
        <s v="Foundation for Individual Liberty_2022"/>
        <s v="Foundation for Individual Liberty_2021"/>
        <s v="Foundation for Individual Liberty_2020"/>
        <s v="Foundation for Individual Liberty_2019"/>
        <s v="Foundation for Individual Liberty_2018"/>
        <s v="Foundation for Individual Liberty_2017"/>
        <s v="Foundation for Individual Liberty_2016"/>
        <s v="Foundation for Individual Liberty_2015"/>
        <s v="Foundation for Individual Liberty_2014"/>
        <s v="Frank B and Virginia V Fehsenfeld Charitable Foundation_2017"/>
        <s v="Frank B and Virginia V Fehsenfeld Charitable Foundation_2016"/>
        <s v="Frank B and Virginia V Fehsenfeld Charitable Foundation_2015"/>
        <s v="Frankel Family Charitable Trust_2021"/>
        <s v="Frankel Family Charitable Trust_2020"/>
        <s v="Frankel Family Charitable Trust_2019"/>
        <s v="Frankel Family Charitable Trust_2018"/>
        <s v="Frankel Family Charitable Trust_2017"/>
        <s v="Fred A Lennon Charitable Trust_2021"/>
        <s v="Fred A Lennon Charitable Trust_2020"/>
        <s v="Fred A Lennon Charitable Trust_2013"/>
        <s v="Fred A Lennon Charitable Trust_2012"/>
        <s v="Fred and Gertrude Perlberg Foundation_2015"/>
        <s v="Friedman Foundation For Educational Choice_2002"/>
        <s v="G A F Foundation_2011"/>
        <s v="Galkin Private Foundation_2018"/>
        <s v="Garvey Kansas Foundation_2021"/>
        <s v="Garvey Kansas Foundation_2020"/>
        <s v="Garvey Kansas Foundation_2019"/>
        <s v="Garvey Kansas Foundation_2018"/>
        <s v="Garvey Kansas Foundation_2017"/>
        <s v="Garvey Kansas Foundation_2016"/>
        <s v="Garvey Kansas Foundation_2015"/>
        <s v="Garvey Kansas Foundation_2014"/>
        <s v="Garvey Kansas Foundation_2013"/>
        <s v="Garvey Kansas Foundation_2012"/>
        <s v="Garvey Kansas Foundation_2011"/>
        <s v="Garvey Kansas Foundation_2010"/>
        <s v="Garvey Kansas Foundation_2009"/>
        <s v="Garvey Kansas Foundation_2008"/>
        <s v="Garvey Kansas Foundation_2007"/>
        <s v="Ge Foundation_2020"/>
        <s v="GFC Foundation_2017"/>
        <s v="GFC Foundation_2015"/>
        <s v="GFC Foundation_2014"/>
        <s v="GFC Foundation_2013"/>
        <s v="GFC Foundation_2012"/>
        <s v="GFC Foundation_2011"/>
        <s v="GFC Foundation_2010"/>
        <s v="GFC Foundation_2008"/>
        <s v="GFC Foundation_2005"/>
        <s v="GFC Foundation_2002"/>
        <s v="Gilroy and Lillian P Roberts Charitable Foundation_2021"/>
        <s v="Gilroy and Lillian P Roberts Charitable Foundation_2020"/>
        <s v="Gilroy and Lillian P Roberts Charitable Foundation_2019"/>
        <s v="Gilroy and Lillian P Roberts Charitable Foundation_2018"/>
        <s v="Gilroy and Lillian P Roberts Charitable Foundation_2017"/>
        <s v="Gilroy and Lillian P Roberts Charitable Foundation_2016"/>
        <s v="Gilroy and Lillian P Roberts Charitable Foundation_2015"/>
        <s v="Gilroy and Lillian P Roberts Charitable Foundation_2014"/>
        <s v="Gilroy and Lillian P Roberts Charitable Foundation_2013"/>
        <s v="Glacs Endowment Fund_2012"/>
        <s v="Glacs Endowment Fund_2011"/>
        <s v="Gogo Foundation_2022"/>
        <s v="Gogo Foundation_2021"/>
        <s v="Gogo Foundation_2020"/>
        <s v="Gogo Foundation_2019"/>
        <s v="Gogo Foundation_2016"/>
        <s v="Gordon R Connor Charitable Foundation_2014"/>
        <s v="Gordon R Connor Charitable Foundation_2013"/>
        <s v="Government Accountability Alliance_2016"/>
        <s v="Greater Houston Community Foundation_2021"/>
        <s v="Greater Houston Community Foundation_2020"/>
        <s v="Greater Houston Community Foundation_2019"/>
        <s v="Greater Houston Community Foundation_2018"/>
        <s v="Greater Houston Community Foundation_2017"/>
        <s v="Greater Kansas City Community Foundation_2016"/>
        <s v="Grover Hermann Foundation_2016"/>
        <s v="Grover Hermann Foundation_2015"/>
        <s v="Grover Hermann Foundation_2014"/>
        <s v="Grover Hermann Foundation_2013"/>
        <s v="Grover Hermann Foundation_2012"/>
        <s v="Grover Hermann Foundation_2011"/>
        <s v="Grover Hermann Foundation_2010"/>
        <s v="Grover Hermann Foundation_2009"/>
        <s v="Grover Hermann Foundation_2007"/>
        <s v="Grover Hermann Foundation_2006"/>
        <s v="Grover Hermann Foundation_2004"/>
        <s v="Grover Hermann Foundation_2003"/>
        <s v="Grover Hermann Foundation_2002"/>
        <s v="Grover Hermann Foundation_2001"/>
        <s v="Grover Hermann Foundation_2000"/>
        <s v="H and R Peters Family Foundation_2021"/>
        <s v="H and R Peters Family Foundation_2020"/>
        <s v="Hardie Family Foundation_2013"/>
        <s v="Hayden Foundation_2021"/>
        <s v="Hayden Foundation_2020"/>
        <s v="Hayden Foundation_2019"/>
        <s v="Hayden Foundation_2018"/>
        <s v="Hayden Foundation_2017"/>
        <s v="Hayden Foundation_2015"/>
        <s v="Hayden Foundation_2014"/>
        <s v="Hayden Foundation_2013"/>
        <s v="Hayden Foundation_2011"/>
        <s v="Hayden Foundation_2010"/>
        <s v="Hayden Foundation_2009"/>
        <s v="Henderson Foundation_2021"/>
        <s v="Henderson Foundation_2020"/>
        <s v="Henderson Foundation_2019"/>
        <s v="Henderson Foundation_2018"/>
        <s v="Henderson Foundation_2017"/>
        <s v="Henderson Foundation_2016"/>
        <s v="Henderson Foundation_2015"/>
        <s v="Henderson Foundation_2014"/>
        <s v="Henderson Foundation_2013"/>
        <s v="Henderson Foundation_2012"/>
        <s v="Henderson Foundation_2011"/>
        <s v="Holmes Family Foundation_2021"/>
        <s v="HTMF Foundation_2016"/>
        <s v="Hughes Family Foundation_2018"/>
        <s v="Hughes Family Foundation_2017"/>
        <s v="Hughes Family Foundation_2012"/>
        <s v="Institute for Humane Studies_2013"/>
        <s v="Institute for Humane Studies_2009"/>
        <s v="Institute for Justice_2022"/>
        <s v="Institute for Justice_2021"/>
        <s v="Institute for Justice_2020"/>
        <s v="Institute for Justice_2019"/>
        <s v="Institute for Justice_2018"/>
        <s v="Irving Rothlein Foundation_2020"/>
        <s v="J P Humphreys Foundation_2021"/>
        <s v="J P Humphreys Foundation_2020"/>
        <s v="J P Humphreys Foundation_2019"/>
        <s v="J P Humphreys Foundation_2018"/>
        <s v="J P Humphreys Foundation_2017"/>
        <s v="J P Humphreys Foundation_2016"/>
        <s v="J P Humphreys Foundation_2015"/>
        <s v="J P Humphreys Foundation_2014"/>
        <s v="J P Humphreys Foundation_2013"/>
        <s v="J P Humphreys Foundation_2011"/>
        <s v="J P Humphreys Foundation_2010"/>
        <s v="J P Humphreys Foundation_2009"/>
        <s v="J P Humphreys Foundation_2007"/>
        <s v="J P Humphreys Foundation_2006"/>
        <s v="J P Humphreys Foundation_2004"/>
        <s v="J P Humphreys Foundation_2002"/>
        <s v="J P Humphreys Foundation_2001"/>
        <s v="J W Schippmann Foundation_2015"/>
        <s v="James E and Edith Margaret Brandon Foundation_2020"/>
        <s v="James E and Edith Margaret Brandon Foundation_2017"/>
        <s v="James E and Edith Margaret Brandon Foundation_2016"/>
        <s v="James E and Edith Margaret Brandon Foundation_2015"/>
        <s v="James F Causley Jr Family Foundation_2015"/>
        <s v="James F Causley Jr Family Foundation_2014"/>
        <s v="James F Causley Jr Family Foundation_2013"/>
        <s v="Jaquelin Hume Foundation_2013"/>
        <s v="Jaquelin Hume Foundation_2012"/>
        <s v="Jaquelin Hume Foundation_2011"/>
        <s v="Jaquelin Hume Foundation_2010"/>
        <s v="Jaquelin Hume Foundation_2009"/>
        <s v="Jaquelin Hume Foundation_2008"/>
        <s v="Jaquelin Hume Foundation_2007"/>
        <s v="Jaquelin Hume Foundation_2006"/>
        <s v="Jaquelin Hume Foundation_2005"/>
        <s v="Jaquelin Hume Foundation_2004"/>
        <s v="Jaquelin Hume Foundation_2003"/>
        <s v="Jaquelin Hume Foundation_2002"/>
        <s v="Jaquelin Hume Foundation_2001"/>
        <s v="Jewish Communal Fund_2017"/>
        <s v="Jewish Communal Fund_2016"/>
        <s v="Jewish Communal Fund_2014"/>
        <s v="Jewish Communal Fund_2012"/>
        <s v="Jewish Communal Fund_2011"/>
        <s v="Jewish Communal Fund_2010"/>
        <s v="Jim Hicks Family Foundation_2018"/>
        <s v="Jim Hicks Family Foundation_2017"/>
        <s v="JM Foundation_2013"/>
        <s v="JM Foundation_2012"/>
        <s v="JM Foundation_2011"/>
        <s v="JM Foundation_2010"/>
        <s v="JM Foundation_2009"/>
        <s v="JM Foundation_2008"/>
        <s v="JM Foundation_2007"/>
        <s v="JM Foundation_2006"/>
        <s v="JM Foundation_2004"/>
        <s v="JM Foundation_2003"/>
        <s v="JM Foundation_1999"/>
        <s v="JM Foundation_1995"/>
        <s v="John Dawson Foundation_2010"/>
        <s v="John E &amp; Sue M Jackson Charitable Trust_2022"/>
        <s v="John E &amp; Sue M Jackson Charitable Trust_2021"/>
        <s v="John E &amp; Sue M Jackson Charitable Trust_2020"/>
        <s v="John E &amp; Sue M Jackson Charitable Trust_2019"/>
        <s v="John E &amp; Sue M Jackson Charitable Trust_2018"/>
        <s v="John E &amp; Sue M Jackson Charitable Trust_2017"/>
        <s v="John E &amp; Sue M Jackson Charitable Trust_2015"/>
        <s v="John J Creedon Foundation_2017"/>
        <s v="John J Creedon Foundation_2016"/>
        <s v="John J Creedon Foundation_2015"/>
        <s v="John J Creedon Foundation_2013"/>
        <s v="John J Creedon Foundation_2011"/>
        <s v="John M Olin Foundation_2001"/>
        <s v="John M Olin Foundation_2000"/>
        <s v="John M Olin Foundation_1996"/>
        <s v="John M Olin Foundation_1994"/>
        <s v="John M Olin Foundation_1993"/>
        <s v="John P and Kathryn G Evans Foundation_2022"/>
        <s v="John P and Kathryn G Evans Foundation_2021"/>
        <s v="John P and Kathryn G Evans Foundation_2020"/>
        <s v="John P and Kathryn G Evans Foundation_2019"/>
        <s v="John P and Kathryn G Evans Foundation_2018"/>
        <s v="John P and Kathryn G Evans Foundation_2017"/>
        <s v="John P and Kathryn G Evans Foundation_2016"/>
        <s v="John P and Kathryn G Evans Foundation_2015"/>
        <s v="John P and Kathryn G Evans Foundation_2014"/>
        <s v="John P and Kathryn G Evans Foundation_2013"/>
        <s v="John W and Wanda W Wirtz Charitable Foundation_2011"/>
        <s v="John William Pope Foundation_2022"/>
        <s v="John William Pope Foundation_2021"/>
        <s v="John William Pope Foundation_2020"/>
        <s v="John William Pope Foundation_2013"/>
        <s v="John William Pope Foundation_2012"/>
        <s v="John William Pope Foundation_2011"/>
        <s v="John William Pope Foundation_2010"/>
        <s v="Keller Family Charitable Trust_2011"/>
        <s v="Kelly Family Foundation_2022"/>
        <s v="Kelly Family Foundation_2021"/>
        <s v="Ken W Davis Foundation_2022"/>
        <s v="Ken W Davis Foundation_2021"/>
        <s v="Ken W Davis Foundation_2020"/>
        <s v="Ken W Davis Foundation_2019"/>
        <s v="Ken W Davis Foundation_2018"/>
        <s v="Ken W Davis Foundation_2017"/>
        <s v="Ken W Davis Foundation_2016"/>
        <s v="Ken W Davis Foundation_2015"/>
        <s v="Ken W Davis Foundation_2014"/>
        <s v="Ken W Davis Foundation_2013"/>
        <s v="Ken W Davis Foundation_2012"/>
        <s v="Ken W Davis Foundation_2011"/>
        <s v="Ken W Davis Foundation_2010"/>
        <s v="Kickapoo Springs Foundation_2021"/>
        <s v="Kickapoo Springs Foundation_2020"/>
        <s v="Kickapoo Springs Foundation_2019"/>
        <s v="Kickapoo Springs Foundation_2018"/>
        <s v="Kickapoo Springs Foundation_2017"/>
        <s v="Kickapoo Springs Foundation_2016"/>
        <s v="Kickapoo Springs Foundation_2015"/>
        <s v="Kickapoo Springs Foundation_2014"/>
        <s v="Kickapoo Springs Foundation_2013"/>
        <s v="Kickapoo Springs Foundation_2012"/>
        <s v="Kickapoo Springs Foundation_2011"/>
        <s v="Kickapoo Springs Foundation_2010"/>
        <s v="Krasberg Mason Foundation_2021"/>
        <s v="Krasberg Mason Foundation_2017"/>
        <s v="Krieble Foundation_2007"/>
        <s v="L &amp; J Goldrich Foundation_2017"/>
        <s v="L &amp; J Goldrich Foundation_2015"/>
        <s v="Lauring Charitable Foundation_2012"/>
        <s v="Lauring Charitable Foundation_2011"/>
        <s v="Lauring Charitable Foundation_2010"/>
        <s v="Lawrence and Sandra Post Family Foundation_2016"/>
        <s v="Legett Foundation_2021"/>
        <s v="Legett Foundation_2020"/>
        <s v="Legett Foundation_2019"/>
        <s v="Legett Foundation_2018"/>
        <s v="Legett Foundation_2017"/>
        <s v="Legett Foundation_2016"/>
        <s v="Legett Foundation_2015"/>
        <s v="Legett Foundation_2014"/>
        <s v="Legett Foundation_2013"/>
        <s v="Legett Foundation_2012"/>
        <s v="Legett Foundation_2011"/>
        <s v="Legett Foundation_2010"/>
        <s v="Leonard and Joan Horvitz Foundation_2022"/>
        <s v="Loren A Jahn Private Charitable_2015"/>
        <s v="Loren A Jahn Private Charitable_2014"/>
        <s v="Lovett and Ruth Peters Foundation_2021"/>
        <s v="Lovett and Ruth Peters Foundation_2020"/>
        <s v="Lovett and Ruth Peters Foundation_2019"/>
        <s v="Lovett and Ruth Peters Foundation_2018"/>
        <s v="Lovett and Ruth Peters Foundation_2016"/>
        <s v="Lovett and Ruth Peters Foundation_2015"/>
        <s v="Lovett and Ruth Peters Foundation_2014"/>
        <s v="Lovett and Ruth Peters Foundation_2013"/>
        <s v="Lovett and Ruth Peters Foundation_2012"/>
        <s v="Lovett and Ruth Peters Foundation_2011"/>
        <s v="Lovett and Ruth Peters Foundation_2010"/>
        <s v="Lovett and Ruth Peters Foundation_2009"/>
        <s v="Lovett and Ruth Peters Foundation_2008"/>
        <s v="Lovett and Ruth Peters Foundation_2007"/>
        <s v="Lovett and Ruth Peters Foundation_2006"/>
        <s v="Lovett and Ruth Peters Foundation_2002"/>
        <s v="Lovett and Ruth Peters Foundation_2001"/>
        <s v="Lovett and Ruth Peters Foundation_2000"/>
        <s v="Lowndes Foundation_2018"/>
        <s v="Lowndes Foundation_2016"/>
        <s v="Lowndes Foundation_2015"/>
        <s v="Lowndes Foundation_2014"/>
        <s v="Lowndes Foundation_2013"/>
        <s v="Lowndes Foundation_2012"/>
        <s v="Lowndes Foundation_2011"/>
        <s v="Lowndes Foundation_2010"/>
        <s v="Lowndes Foundation_2009"/>
        <s v="Lowndes Foundation_2008"/>
        <s v="Lozick Family Foundation_2021"/>
        <s v="Lynde and Harry Bradley Foundation_2021"/>
        <s v="Lynde and Harry Bradley Foundation_2020"/>
        <s v="Lynde and Harry Bradley Foundation_2019"/>
        <s v="Lynde and Harry Bradley Foundation_2018"/>
        <s v="Lynde and Harry Bradley Foundation_2017"/>
        <s v="Lynde and Harry Bradley Foundation_2016"/>
        <s v="Lynde and Harry Bradley Foundation_2015"/>
        <s v="Lynde and Harry Bradley Foundation_2014"/>
        <s v="Lynde and Harry Bradley Foundation_2013"/>
        <s v="Lynde and Harry Bradley Foundation_2012"/>
        <s v="Lynde and Harry Bradley Foundation_2011"/>
        <s v="Lynde and Harry Bradley Foundation_2010"/>
        <s v="Lynde and Harry Bradley Foundation_2009"/>
        <s v="Lynde and Harry Bradley Foundation_2007"/>
        <s v="Lynde and Harry Bradley Foundation_2005"/>
        <s v="Lynde and Harry Bradley Foundation_1993"/>
        <s v="Macdougal Family Foundation_2021"/>
        <s v="Macdougal Family Foundation_2020"/>
        <s v="Macdougal Family Foundation_2018"/>
        <s v="Macdougal Family Foundation_2017"/>
        <s v="Macdougal Family Foundation_2015"/>
        <s v="Macdougal Family Foundation_2012"/>
        <s v="Maine Community Foundation_2017"/>
        <s v="Maine Community Foundation_2016"/>
        <s v="Maine Community Foundation_2014"/>
        <s v="Maine Community Foundation_2013"/>
        <s v="Maine Community Foundation_2007"/>
        <s v="Marguerite A Scribante Foundation_2014"/>
        <s v="Mark E &amp; Mary A Davis Foundation_2021"/>
        <s v="Mark E &amp; Mary A Davis Foundation_2020"/>
        <s v="Mcp Charitable Foundation_2022"/>
        <s v="Mcp Charitable Foundation_2019"/>
        <s v="Mcp Charitable Foundation_2014"/>
        <s v="Mcp Charitable Foundation_2013"/>
        <s v="McWethy Foundation_2019"/>
        <s v="Melvin S Cohen Foundation_2022"/>
        <s v="Melvin S Cohen Foundation_2021"/>
        <s v="Melvin S Cohen Foundation_2020"/>
        <s v="Mercatus Center_2018"/>
        <s v="Mercer Family Foundation_2014"/>
        <s v="Mercer Family Foundation_2013"/>
        <s v="Milbank Foundation for Rehabilitation_2020"/>
        <s v="Milbank Foundation for Rehabilitation_2019"/>
        <s v="Milbank Foundation for Rehabilitation_2018"/>
        <s v="Minneapolis Foundation_2020"/>
        <s v="Minneapolis Foundation_2019"/>
        <s v="Minneapolis Foundation_2017"/>
        <s v="Minneapolis Foundation_2016"/>
        <s v="Morse Charitable Foundation_2021"/>
        <s v="Morse Charitable Foundation_2020"/>
        <s v="Morse Charitable Foundation_2018"/>
        <s v="Morse Charitable Foundation_2017"/>
        <s v="Morse Charitable Foundation_2016"/>
        <s v="Morse Charitable Foundation_2015"/>
        <s v="Morse Charitable Foundation_2013"/>
        <s v="MyWireless.org_2017"/>
        <s v="National Center for Housing Management_2019"/>
        <s v="National Christian Charitable Foundation_2021"/>
        <s v="National Christian Charitable Foundation_2020"/>
        <s v="National Christian Charitable Foundation_2019"/>
        <s v="National Christian Charitable Foundation_2018"/>
        <s v="National Christian Charitable Foundation_2017"/>
        <s v="National Christian Charitable Foundation_2016"/>
        <s v="National Christian Charitable Foundation_2015"/>
        <s v="National Christian Charitable Foundation_2012"/>
        <s v="National Christian Charitable Foundation_2010"/>
        <s v="National Christian Charitable Foundation_2008"/>
        <s v="National Philanthropic Trust_2022"/>
        <s v="National Philanthropic Trust_2021"/>
        <s v="National Philanthropic Trust_2020"/>
        <s v="National Philanthropic Trust_2019"/>
        <s v="National Philanthropic Trust_2017"/>
        <s v="Ncta the Internet &amp; Television Association_2017"/>
        <s v="Ncta the Internet &amp; Television Association_2015"/>
        <s v="Ncta the Internet &amp; Television Association_2014"/>
        <s v="Ncta the Internet &amp; Television Association_2013"/>
        <s v="Ncta the Internet &amp; Television Association_2012"/>
        <s v="Neal and Marlene Goldman Foundation_2021"/>
        <s v="New Hope Foundation_2018"/>
        <s v="New Hope Foundation_2012"/>
        <s v="New Hope Foundation_2011"/>
        <s v="New Hope Foundation_2010"/>
        <s v="New Hope Foundation_2009"/>
        <s v="New Hope Foundation_2008"/>
        <s v="New Hope Foundation_2007"/>
        <s v="New Hope Foundation_2006"/>
        <s v="New Hope Foundation_2005"/>
        <s v="New Hope Foundation_2004"/>
        <s v="New Hope Foundation_2003"/>
        <s v="New Hope Foundation_2002"/>
        <s v="New Hope Foundation_2001"/>
        <s v="Norman I and Sandra Rich Family Charitable Foundation_2017"/>
        <s v="Oda Family Charitable Foundation_2021"/>
        <s v="Offerdahl Family Foundation_2022"/>
        <s v="Offerdahl Family Foundation_2020"/>
        <s v="Old Stones Foundation_2019"/>
        <s v="Oshay Family Foundation_2020"/>
        <s v="Oxford Area Foundation_2011"/>
        <s v="Paslaqua Charitable Foundation_2022"/>
        <s v="Paslaqua Charitable Foundation_2021"/>
        <s v="Paslaqua Charitable Foundation_2020"/>
        <s v="Patricia M and Robert H Martinsen Foundation_2022"/>
        <s v="Patricia M and Robert H Martinsen Foundation_2020"/>
        <s v="Patricia M and Robert H Martinsen Foundation_2019"/>
        <s v="People United for Privacy Foundation_2020"/>
        <s v="Pfizer Foundation_2021"/>
        <s v="PG Beil Foundation_2022"/>
        <s v="PG Beil Foundation_2021"/>
        <s v="PG Beil Foundation_2020"/>
        <s v="PG Beil Foundation_2019"/>
        <s v="PG Beil Foundation_2018"/>
        <s v="PG Beil Foundation_2017"/>
        <s v="PG Beil Foundation_2016"/>
        <s v="PG Beil Foundation_2015"/>
        <s v="PG Beil Foundation_2014"/>
        <s v="PG Beil Foundation_2013"/>
        <s v="PG Beil Foundation_2012"/>
        <s v="PG Beil Foundation_2011"/>
        <s v="Philip M Friedmann Family Charitable Trust_2021"/>
        <s v="Philip M Friedmann Family Charitable Trust_2020"/>
        <s v="Philip M Friedmann Family Charitable Trust_2018"/>
        <s v="Philip M Friedmann Family Charitable Trust_2015"/>
        <s v="Philip M Friedmann Family Charitable Trust_2013"/>
        <s v="PhRMA_2016"/>
        <s v="PhRMA_2008"/>
        <s v="Policy Circle Co_2017"/>
        <s v="Prudential Foundation_2014"/>
        <s v="Prudential Foundation_2013"/>
        <s v="Quaker City_2021"/>
        <s v="Ralph A Loveys Family Charitable Foundation_2013"/>
        <s v="Ralph A Loveys Family Charitable Foundation_2012"/>
        <s v="Ralph A Loveys Family Charitable Foundation_2011"/>
        <s v="Ralph and Linda Kaffel Charitable Foundation_2012"/>
        <s v="Reams Foundation_2021"/>
        <s v="Reams Foundation_2020"/>
        <s v="Reams Foundation_2019"/>
        <s v="Reams Foundation_2018"/>
        <s v="Reams Foundation_2017"/>
        <s v="Reams Foundation_2016"/>
        <s v="Reams Foundation_2015"/>
        <s v="Reams Foundation_2014"/>
        <s v="Reams Foundation_2013"/>
        <s v="Reams Foundation_2012"/>
        <s v="Red Bird Hollow Foundation_2021"/>
        <s v="Red Bird Hollow Foundation_2020"/>
        <s v="Red Bird Hollow Foundation_2019"/>
        <s v="Rhonda Fleming Foundation_2015"/>
        <s v="Richard Horvitz and Erica Hartman Horvitz Foundation_2021"/>
        <s v="Richard Horvitz and Erica Hartman Horvitz Foundation_2020"/>
        <s v="Richard Horvitz and Erica Hartman Horvitz Foundation_2019"/>
        <s v="Richard Horvitz and Erica Hartman Horvitz Foundation_2018"/>
        <s v="Richard Horvitz and Erica Hartman Horvitz Foundation_2017"/>
        <s v="Richard Horvitz and Erica Hartman Horvitz Foundation_2016"/>
        <s v="Richard Horvitz and Erica Hartman Horvitz Foundation_2015"/>
        <s v="Richard Horvitz and Erica Hartman Horvitz Foundation_2014"/>
        <s v="Richard Horvitz and Erica Hartman Horvitz Foundation_2013"/>
        <s v="Richard Horvitz and Erica Hartman Horvitz Foundation_2012"/>
        <s v="Richard Horvitz and Erica Hartman Horvitz Foundation_2011"/>
        <s v="Richard M Allen Charitable Trust_2022"/>
        <s v="Richard M Allen Charitable Trust_2021"/>
        <s v="Richard Seth Staley Educational Foundation_2016"/>
        <s v="Richard Seth Staley Educational Foundation_2015"/>
        <s v="Richard Seth Staley Educational Foundation_2014"/>
        <s v="Richard Seth Staley Educational Foundation_2013"/>
        <s v="Richard Seth Staley Educational Foundation_2011"/>
        <s v="Richard Seth Staley Educational Foundation_2009"/>
        <s v="Riklin Charitable Trust_2022"/>
        <s v="Riklin Charitable Trust_2021"/>
        <s v="Riklin Charitable Trust_2020"/>
        <s v="Riklin Charitable Trust_2019"/>
        <s v="Rising Phoenix Foundation_2019"/>
        <s v="Rising Phoenix Foundation_2018"/>
        <s v="Rising Phoenix Foundation_2017"/>
        <s v="Rising Phoenix Foundation_2016"/>
        <s v="Rising Phoenix Foundation_2015"/>
        <s v="Rising Phoenix Foundation_2013"/>
        <s v="Rising Phoenix Foundation_2012"/>
        <s v="Rising Phoenix Foundation_2011"/>
        <s v="Rising Phoenix Foundation_2010"/>
        <s v="Rising Phoenix Foundation_2008"/>
        <s v="Robert P Rotella Foundation_2019"/>
        <s v="Robert P Rotella Foundation_2018"/>
        <s v="Robert P Rotella Foundation_2017"/>
        <s v="Robert P Rotella Foundation_2016"/>
        <s v="Robert P Rotella Foundation_2015"/>
        <s v="Robert P Rotella Foundation_2014"/>
        <s v="Robert P Rotella Foundation_2013"/>
        <s v="Robert P Rotella Foundation_2012"/>
        <s v="Robertson-Finley Foundation_2022"/>
        <s v="Robertson-Finley Foundation_2021"/>
        <s v="Robertson-Finley Foundation_2020"/>
        <s v="Robertson-Finley Foundation_2019"/>
        <s v="Robertson-Finley Foundation_2018"/>
        <s v="Robertson-Finley Foundation_2017"/>
        <s v="Robertson-Finley Foundation_2016"/>
        <s v="Robertson-Finley Foundation_2015"/>
        <s v="Robertson-Finley Foundation_2014"/>
        <s v="Robertson-Finley Foundation_2013"/>
        <s v="Rodney Fund_2018"/>
        <s v="Rodney Fund_2017"/>
        <s v="Rodney Fund_2014"/>
        <s v="Rodney Fund_2013"/>
        <s v="Rodney Fund_2012"/>
        <s v="Rodney Fund_2011"/>
        <s v="Rodney Fund_2008"/>
        <s v="Rodney Fund_2007"/>
        <s v="Rodney Fund_2006"/>
        <s v="Rodney Fund_2005"/>
        <s v="Rodney Fund_2004"/>
        <s v="Rodney Fund_2001"/>
        <s v="Roe Foundation_2022"/>
        <s v="Roe Foundation_2021"/>
        <s v="Roe Foundation_2020"/>
        <s v="Roe Foundation_2019"/>
        <s v="Roe Foundation_2018"/>
        <s v="Roe Foundation_2015"/>
        <s v="Roe Foundation_2014"/>
        <s v="Roe Foundation_2013"/>
        <s v="Roe Foundation_2012"/>
        <s v="Roe Foundation_2011"/>
        <s v="Roe Foundation_2010"/>
        <s v="Roe Foundation_2009"/>
        <s v="Roe Foundation_2008"/>
        <s v="Roe Foundation_2007"/>
        <s v="Roe Foundation_2006"/>
        <s v="Roe Foundation_2005"/>
        <s v="Roe Foundation_2004"/>
        <s v="Roe Foundation_2003"/>
        <s v="Roe Foundation_2002"/>
        <s v="Roe Foundation_2001"/>
        <s v="Roe Foundation_2000"/>
        <s v="Roe Foundation_1999"/>
        <s v="Roe Foundation_1998"/>
        <s v="Roemisch Family Foundation_2021"/>
        <s v="Ron and Susan Krump Foundation_2016"/>
        <s v="Sander Foundation_2020"/>
        <s v="Sarah Scaife Foundation_2021"/>
        <s v="Sarah Scaife Foundation_2020"/>
        <s v="Sarah Scaife Foundation_2019"/>
        <s v="Sarah Scaife Foundation_2018"/>
        <s v="Sarah Scaife Foundation_2017"/>
        <s v="Sarah Scaife Foundation_2016"/>
        <s v="Schwab Charitable Fund_2022"/>
        <s v="Schwab Charitable Fund_2021"/>
        <s v="Schwab Charitable Fund_2020"/>
        <s v="Schwab Charitable Fund_2019"/>
        <s v="Schwab Charitable Fund_2018"/>
        <s v="Schwab Charitable Fund_2017"/>
        <s v="Schwab Charitable Fund_2016"/>
        <s v="Schwab Charitable Fund_2015"/>
        <s v="Scott Family Foundation_2015"/>
        <s v="Searle Freedom Trust_2021"/>
        <s v="Searle Freedom Trust_2020"/>
        <s v="Searle Freedom Trust_2019"/>
        <s v="Searle Freedom Trust_2018"/>
        <s v="Searle Freedom Trust_2017"/>
        <s v="Searle Freedom Trust_2016"/>
        <s v="Searle Freedom Trust_2015"/>
        <s v="Searle Freedom Trust_2014"/>
        <s v="Searle Freedom Trust_2013"/>
        <s v="Searle Freedom Trust_2012"/>
        <s v="Searle Freedom Trust_2011"/>
        <s v="Searle Freedom Trust_2010"/>
        <s v="Searle Freedom Trust_2009"/>
        <s v="Searle Freedom Trust_2008"/>
        <s v="Searle Freedom Trust_2007"/>
        <s v="Searle Freedom Trust_2006"/>
        <s v="Searle Freedom Trust_2004"/>
        <s v="Seattle Foundation_2021"/>
        <s v="Seattle Foundation_2020"/>
        <s v="Seattle Foundation_2019"/>
        <s v="Seattle Foundation_2018"/>
        <s v="Shell Oil Company Foundation_2021"/>
        <s v="Shell Oil Company Foundation_2019"/>
        <s v="Shell Oil Company Foundation_2018"/>
        <s v="Shell Oil Company Foundation_2016"/>
        <s v="Shell Oil Company Foundation_2014"/>
        <s v="Shepherds Hand_2020"/>
        <s v="Shepherds Hand_2019"/>
        <s v="Shepherds Hand_2018"/>
        <s v="Shepherds Hand_2016"/>
        <s v="Shepherds Hand_2013"/>
        <s v="Short Family Foundation_2018"/>
        <s v="Snider Foundation_2020"/>
        <s v="State Policy Network_2022"/>
        <s v="State Policy Network_2021"/>
        <s v="State Policy Network_2020"/>
        <s v="State Policy Network_2019"/>
        <s v="State Policy Network_2018"/>
        <s v="State Policy Network_2017"/>
        <s v="State Policy Network_2016"/>
        <s v="State Policy Network_2015"/>
        <s v="State Policy Network_2014"/>
        <s v="State Policy Network_2013"/>
        <s v="State Policy Network_2012"/>
        <s v="State Policy Network_2011"/>
        <s v="State Policy Network_2010"/>
        <s v="State Policy Network_2009"/>
        <s v="State Policy Network_2008"/>
        <s v="State Policy Network_2007"/>
        <s v="State Policy Network_2006"/>
        <s v="State Policy Network_2005"/>
        <s v="State Policy Network_2002"/>
        <s v="Stone Barrett Foundation_2015"/>
        <s v="Stone Barrett Foundation_2014"/>
        <s v="Stone Barrett Foundation_2013"/>
        <s v="Stone Barrett Foundation_2012"/>
        <s v="Stone Barrett Foundation_2011"/>
        <s v="Stone Barrett Foundation_2010"/>
        <s v="Strauss Foundation Incorporated_2022"/>
        <s v="Sunmark Foundation_2006"/>
        <s v="Sunmark Foundation_2004"/>
        <s v="Susquehanna Foundation_2017"/>
        <s v="Sutton Family Foundation_2022"/>
        <s v="Sutton Family Foundation_2021"/>
        <s v="Sutton Family Foundation_2020"/>
        <s v="Sutton Family Foundation_2019"/>
        <s v="Tepper Family Foundation_2021"/>
        <s v="Tepper Family Foundation_2020"/>
        <s v="Tepper Family Foundation_2017"/>
        <s v="Tepper Family Foundation_2012"/>
        <s v="Tepper Family Foundation_2011"/>
        <s v="Tepper Family Foundation_2010"/>
        <s v="Tepper Family Foundation_2009"/>
        <s v="Tepper Family Foundation_2008"/>
        <s v="Thirteen Foundation_2012"/>
        <s v="Thomas B Fordham Foundation_2010"/>
        <s v="Thomas W Smith Foundation_2021"/>
        <s v="Thomas W Smith Foundation_2020"/>
        <s v="Thomas W Smith Foundation_2019"/>
        <s v="Thomas W Smith Foundation_2018"/>
        <s v="Thomas W Smith Foundation_2017"/>
        <s v="Thomas W Smith Foundation_2016"/>
        <s v="TKBW Private Foundation_2022"/>
        <s v="TKBW Private Foundation_2021"/>
        <s v="TKBW Private Foundation_2020"/>
        <s v="TKBW Private Foundation_2019"/>
        <s v="TKBW Private Foundation_2018"/>
        <s v="TKBW Private Foundation_2016"/>
        <s v="TKBW Private Foundation_2015"/>
        <s v="TKBW Private Foundation_2014"/>
        <s v="TKBW Private Foundation_2013"/>
        <s v="TKBW Private Foundation_2012"/>
        <s v="TKBW Private Foundation_2011"/>
        <s v="TWS Foundation_2015"/>
        <s v="TWS Foundation_2014"/>
        <s v="Vanguard Charitable Endowment Program_2022"/>
        <s v="Vanguard Charitable Endowment Program_2021"/>
        <s v="Vernon K Krieble Foundation_2017"/>
        <s v="Vernon K Krieble Foundation_2015"/>
        <s v="Vernon K Krieble Foundation_2014"/>
        <s v="Vernon K Krieble Foundation_2013"/>
        <s v="Vernon K Krieble Foundation_2012"/>
        <s v="Vernon K Krieble Foundation_2011"/>
        <s v="Vernon K Krieble Foundation_2010"/>
        <s v="Vernon K Krieble Foundation_2008"/>
        <s v="Vernon K Krieble Foundation_2006"/>
        <s v="Vernon K Krieble Foundation_2005"/>
        <s v="Vernon K Krieble Foundation_2004"/>
        <s v="Vernon K Krieble Foundation_2003"/>
        <s v="Vernon K Krieble Foundation_2002"/>
        <s v="Vernon K Krieble Foundation_2001"/>
        <s v="Vernon K Krieble Foundation_2000"/>
        <s v="W Russell and Patricia Davis Duke Foundation_2022"/>
        <s v="W Russell and Patricia Davis Duke Foundation_2021"/>
        <s v="Walton Family Foundation_2021"/>
        <s v="Walton Family Foundation_2020"/>
        <s v="Walton Family Foundation_2019"/>
        <s v="Walton Family Foundation_2018"/>
        <s v="Walton Family Foundation_2017"/>
        <s v="Walton Family Foundation_2016"/>
        <s v="Walton Family Foundation_2014"/>
        <s v="Warren B Galkin Foundation_2022"/>
        <s v="Warren B Galkin Foundation_2021"/>
        <s v="Warren B Galkin Foundation_2019"/>
        <s v="Warren B Galkin Foundation_2018"/>
        <s v="William E Chelew Foundation_2014"/>
        <s v="William H Donner Foundation_2020"/>
        <s v="William H Donner Foundation_2019"/>
        <s v="William H Donner Foundation_2017"/>
        <s v="William H Donner Foundation_2016"/>
        <s v="William H Donner Foundation_2015"/>
        <s v="William H Donner Foundation_2014"/>
        <s v="William H Donner Foundation_2011"/>
        <s v="William H Donner Foundation_2008"/>
        <s v="William H Donner Foundation_2007"/>
        <s v="William H Donner Foundation_1998"/>
        <s v="William S &amp; Ann Atherton Foundation_2021"/>
        <s v="William S &amp; Ann Atherton Foundation_2020"/>
        <s v="William S &amp; Ann Atherton Foundation_2019"/>
        <s v="William S &amp; Ann Atherton Foundation_2018"/>
        <s v="William S &amp; Ann Atherton Foundation_2017"/>
        <s v="William S &amp; Ann Atherton Foundation_2016"/>
        <s v="William S &amp; Ann Atherton Foundation_2015"/>
        <s v="William S &amp; Ann Atherton Foundation_2014"/>
        <s v="William S &amp; Ann Atherton Foundation_2013"/>
        <s v="William S &amp; Ann Atherton Foundation_2012"/>
        <s v="William S &amp; Ann Atherton Foundation_2011"/>
        <s v="William S &amp; Ann Atherton Foundation_2010"/>
        <s v="William S &amp; Ann Atherton Foundation_2009"/>
        <s v="William S &amp; Ann Atherton Foundation_2008"/>
        <s v="Wodecroft Foundation_2015"/>
        <s v="Wodecroft Foundation_2014"/>
        <s v="Wodecroft Foundation_2013"/>
        <s v="Woodford Foundation for Limited Government_2021"/>
        <s v="Woodford Foundation for Limited Government_2020"/>
        <s v="Woodford Foundation for Limited Government_2019"/>
        <s v="Woodford Foundation for Limited Government_2018"/>
        <s v="Woodford Foundation for Limited Government_2017"/>
        <s v="Woodford Foundation for Limited Government_2016"/>
        <s v="Woodford Foundation for Limited Government_2015"/>
        <s v="Woodford Foundation for Limited Government_2014"/>
        <s v="Woodford Foundation for Limited Government_2013"/>
        <s v="Woodford Foundation for Limited Government_2012"/>
        <s v="Woodford Foundation for Limited Government_2011"/>
        <s v="Woodford Foundation for Limited Government_2010"/>
        <s v="Woodford Foundation for Limited Government_2009"/>
        <s v="Woodford Foundation for Limited Government_2008"/>
        <s v="Woodford Foundation for Limited Government_2007"/>
        <s v="Yarbrough Family Foundation_2022"/>
        <s v="Yarbrough Family Foundation_2021"/>
        <s v="Yarbrough Family Foundation_2020"/>
        <m/>
      </sharedItems>
    </cacheField>
    <cacheField name="donor_name" numFmtId="0">
      <sharedItems containsBlank="1" count="223">
        <s v="A P Kirby Jr Foundation"/>
        <s v="Acts 4 32 34"/>
        <s v="Adolph Coors Foundation"/>
        <s v="Aequus Institute"/>
        <s v="Al &amp; Peggy Dematteis Family Foundation"/>
        <s v="Alpaugh Foundation"/>
        <s v="Alta and John Franks Foundation"/>
        <s v="Alton Family Foundation"/>
        <s v="Amaturo Family Foundation"/>
        <s v="American Endowment Foundation"/>
        <s v="American Fuel and Petrochemical Manufacturers"/>
        <s v="American Legislative Exchange Council"/>
        <s v="Americans for Prosperity Foundation"/>
        <s v="Americans for Tax Reform Foundation"/>
        <s v="Anna Paulina Foundation"/>
        <s v="Arizona State University Foundation for a New American University"/>
        <s v="Armstrong Foundation"/>
        <s v="Arthur L &amp; Lily D Walters Foundation"/>
        <s v="Atlas Economic Research Foundation"/>
        <s v="Bader Family Foundation"/>
        <s v="Bailey Family Foundation"/>
        <s v="Bane Foundation"/>
        <s v="Bank of America Charitable Foundation"/>
        <s v="Barbara and Barre Seid Foundation"/>
        <s v="Barney Family Foundation"/>
        <s v="Beach Foundation"/>
        <s v="Beth and Ravenel Curry Foundation"/>
        <s v="Black Family Foundation"/>
        <s v="Bodman Foundation"/>
        <s v="Bradley Impact Fund"/>
        <s v="Brian &amp; Joelle Kelly Family Foundation"/>
        <s v="Briggs Foundation"/>
        <s v="C &amp; N Foundation"/>
        <s v="C and A Johnson Family Foundation"/>
        <s v="Caridad Corporation"/>
        <s v="Castle Rock Foundation"/>
        <s v="Catherine V and Martin Hofmann Foundation"/>
        <s v="Center for Growth and Opportunity"/>
        <s v="Center for Independent Employees"/>
        <s v="Challenge Foundation"/>
        <s v="Charles G Koch Charitable Foundation"/>
        <s v="Charles Koch Institute"/>
        <s v="Chase Foundation of Virginia"/>
        <s v="Chiaroscuro Foundation"/>
        <s v="Chiavacci Family Foundation"/>
        <s v="Claude R Lambe Charitable Foundation"/>
        <s v="Coalition for The New Economy"/>
        <s v="Community Foundation of New Jersey"/>
        <s v="Community Foundation of the Holland Zeeland Area"/>
        <s v="Constructive Management Foundation"/>
        <s v="Crawford Family Foundation"/>
        <s v="Culpepper Family Foundation"/>
        <s v="D M Schneider Foundation"/>
        <s v="David R and Rachel R Eidelman Family Foundation"/>
        <s v="Deramus Foundation"/>
        <s v="Dettmer Family Foundation"/>
        <s v="Diana Davis Spencer Foundation"/>
        <s v="Dodge Jones Foundation"/>
        <s v="Donald L &amp; Valerie D Gottschalk Foundation"/>
        <s v="Donors Capital Fund"/>
        <s v="DonorsTrust"/>
        <s v="Donovan Family Foundation"/>
        <s v="Dunn's Foundation for Advancement of Right Thinking"/>
        <s v="Dupage Community Foundation"/>
        <s v="E L Craig Foundation"/>
        <s v="Earl W and Hildagunda A Brinkman Private Charitable Foundation"/>
        <s v="Ed Foundation"/>
        <s v="Ed Uihlein Family Foundation"/>
        <s v="Edison Electric Institute"/>
        <s v="Education Freedom Alliance"/>
        <s v="Edward A &amp; Catherine L Lozick Foundation"/>
        <s v="Edward and Wilhelmina Ackerman Foundation"/>
        <s v="Eric Javits Family Foundation"/>
        <s v="Ewing Marion Kauffman Foundation"/>
        <s v="Farmer Family Foundation"/>
        <s v="Farrell Family Foundation"/>
        <s v="Fidelity Investments Charitable Gift Fund"/>
        <s v="Florence and Gordon Holland Family Foundation"/>
        <s v="Foundation for Individual Liberty"/>
        <s v="Frank B and Virginia V Fehsenfeld Charitable Foundation"/>
        <s v="Frankel Family Charitable Trust"/>
        <s v="Fred A Lennon Charitable Trust"/>
        <s v="Fred and Gertrude Perlberg Foundation"/>
        <s v="Friedman Foundation For Educational Choice"/>
        <s v="G A F Foundation"/>
        <s v="Galkin Private Foundation"/>
        <s v="Garvey Kansas Foundation"/>
        <s v="Ge Foundation"/>
        <s v="GFC Foundation"/>
        <s v="Gilroy and Lillian P Roberts Charitable Foundation"/>
        <s v="Glacs Endowment Fund"/>
        <s v="Gogo Foundation"/>
        <s v="Gordon R Connor Charitable Foundation"/>
        <s v="Government Accountability Alliance"/>
        <s v="Greater Houston Community Foundation"/>
        <s v="Greater Kansas City Community Foundation"/>
        <s v="Grover Hermann Foundation"/>
        <s v="H and R Peters Family Foundation"/>
        <s v="Hardie Family Foundation"/>
        <s v="Hayden Foundation"/>
        <s v="Henderson Foundation"/>
        <s v="Holmes Family Foundation"/>
        <s v="HTMF Foundation"/>
        <s v="Hughes Family Foundation"/>
        <s v="Institute for Humane Studies"/>
        <s v="Institute for Justice"/>
        <s v="Irving Rothlein Foundation"/>
        <s v="J P Humphreys Foundation"/>
        <s v="J W Schippmann Foundation"/>
        <s v="James E and Edith Margaret Brandon Foundation"/>
        <s v="James F Causley Jr Family Foundation"/>
        <s v="Jaquelin Hume Foundation"/>
        <s v="Jewish Communal Fund"/>
        <s v="Jim Hicks Family Foundation"/>
        <s v="JM Foundation"/>
        <s v="John Dawson Foundation"/>
        <s v="John E &amp; Sue M Jackson Charitable Trust"/>
        <s v="John J Creedon Foundation"/>
        <s v="John M Olin Foundation"/>
        <s v="John P and Kathryn G Evans Foundation"/>
        <s v="John W and Wanda W Wirtz Charitable Foundation"/>
        <s v="John William Pope Foundation"/>
        <s v="Keller Family Charitable Trust"/>
        <s v="Kelly Family Foundation"/>
        <s v="Ken W Davis Foundation"/>
        <s v="Kickapoo Springs Foundation"/>
        <s v="Krasberg Mason Foundation"/>
        <s v="Krieble Foundation"/>
        <s v="L &amp; J Goldrich Foundation"/>
        <s v="Lauring Charitable Foundation"/>
        <s v="Lawrence and Sandra Post Family Foundation"/>
        <s v="Legett Foundation"/>
        <s v="Leonard and Joan Horvitz Foundation"/>
        <s v="Loren A Jahn Private Charitable"/>
        <s v="Lovett and Ruth Peters Foundation"/>
        <s v="Lowndes Foundation"/>
        <s v="Lozick Family Foundation"/>
        <s v="Lynde and Harry Bradley Foundation"/>
        <s v="Macdougal Family Foundation"/>
        <s v="Maine Community Foundation"/>
        <s v="Marguerite A Scribante Foundation"/>
        <s v="Mark E &amp; Mary A Davis Foundation"/>
        <s v="Mcp Charitable Foundation"/>
        <s v="McWethy Foundation"/>
        <s v="Melvin S Cohen Foundation"/>
        <s v="Mercatus Center"/>
        <s v="Mercer Family Foundation"/>
        <s v="Milbank Foundation for Rehabilitation"/>
        <s v="Minneapolis Foundation"/>
        <s v="Morse Charitable Foundation"/>
        <s v="MyWireless.org"/>
        <s v="National Center for Housing Management"/>
        <s v="National Christian Charitable Foundation"/>
        <s v="National Philanthropic Trust"/>
        <s v="Ncta the Internet &amp; Television Association"/>
        <s v="Neal and Marlene Goldman Foundation"/>
        <s v="New Hope Foundation"/>
        <s v="Norman I and Sandra Rich Family Charitable Foundation"/>
        <s v="Oda Family Charitable Foundation"/>
        <s v="Offerdahl Family Foundation"/>
        <s v="Old Stones Foundation"/>
        <s v="Oshay Family Foundation"/>
        <s v="Oxford Area Foundation"/>
        <s v="Paslaqua Charitable Foundation"/>
        <s v="Patricia M and Robert H Martinsen Foundation"/>
        <s v="People United for Privacy Foundation"/>
        <s v="Pfizer Foundation"/>
        <s v="PG Beil Foundation"/>
        <s v="Philip M Friedmann Family Charitable Trust"/>
        <s v="PhRMA"/>
        <s v="Policy Circle Co"/>
        <s v="Prudential Foundation"/>
        <s v="Quaker City"/>
        <s v="Ralph A Loveys Family Charitable Foundation"/>
        <s v="Ralph and Linda Kaffel Charitable Foundation"/>
        <s v="Reams Foundation"/>
        <s v="Red Bird Hollow Foundation"/>
        <s v="Rhonda Fleming Foundation"/>
        <s v="Richard Horvitz and Erica Hartman Horvitz Foundation"/>
        <s v="Richard M Allen Charitable Trust"/>
        <s v="Richard Seth Staley Educational Foundation"/>
        <s v="Riklin Charitable Trust"/>
        <s v="Rising Phoenix Foundation"/>
        <s v="Robert P Rotella Foundation"/>
        <s v="Robertson-Finley Foundation"/>
        <s v="Rodney Fund"/>
        <s v="Roe Foundation"/>
        <s v="Roemisch Family Foundation"/>
        <s v="Ron and Susan Krump Foundation"/>
        <s v="Sander Foundation"/>
        <s v="Sarah Scaife Foundation"/>
        <s v="Schwab Charitable Fund"/>
        <s v="Scott Family Foundation"/>
        <s v="Searle Freedom Trust"/>
        <s v="Seattle Foundation"/>
        <s v="Shell Oil Company Foundation"/>
        <s v="Shepherds Hand"/>
        <s v="Short Family Foundation"/>
        <s v="Snider Foundation"/>
        <s v="State Policy Network"/>
        <s v="Stone Barrett Foundation"/>
        <s v="Strauss Foundation Incorporated"/>
        <s v="Sunmark Foundation"/>
        <s v="Susquehanna Foundation"/>
        <s v="Sutton Family Foundation"/>
        <s v="Tepper Family Foundation"/>
        <s v="Thirteen Foundation"/>
        <s v="Thomas B Fordham Foundation"/>
        <s v="Thomas W Smith Foundation"/>
        <s v="TKBW Private Foundation"/>
        <s v="TWS Foundation"/>
        <s v="Vanguard Charitable Endowment Program"/>
        <s v="Vernon K Krieble Foundation"/>
        <s v="W Russell and Patricia Davis Duke Foundation"/>
        <s v="Walton Family Foundation"/>
        <s v="Warren B Galkin Foundation"/>
        <s v="William E Chelew Foundation"/>
        <s v="William H Donner Foundation"/>
        <s v="William S &amp; Ann Atherton Foundation"/>
        <s v="Wodecroft Foundation"/>
        <s v="Woodford Foundation for Limited Government"/>
        <s v="Yarbrough Family Foundation"/>
        <m/>
      </sharedItems>
    </cacheField>
    <cacheField name="recipient_name" numFmtId="0">
      <sharedItems containsBlank="1" count="130">
        <s v="State Policy Network"/>
        <s v="Alaska Policy Forum"/>
        <s v="Asu Prep Global Academy"/>
        <s v="Badger Institute"/>
        <s v="Beacon Center of Tennessee"/>
        <s v="California Policy Center"/>
        <s v="Cardinal Institute for West Virginia Policy"/>
        <s v="Cascade Policy Institute"/>
        <s v="Center for Law and Policy"/>
        <s v="Center of the American Experiment"/>
        <s v="Commonwealth Foundation for Public Policy Alternatives"/>
        <s v="Empire Center for Public Policy"/>
        <s v="Empower Mississippi Foundation"/>
        <s v="Foundation for Government Accountability"/>
        <s v="Evergreen Freedom Foundation"/>
        <s v="Georgia Center for Opportunity"/>
        <s v="Georgia Public Policy Foundation"/>
        <s v="Goldwater Institute for Public Policy"/>
        <s v="Grassroots Institute of Hawaii"/>
        <s v="Greathearts Foundation"/>
        <s v="Hearts of Empowerment Inc"/>
        <s v="Illinois Policy Institute"/>
        <s v="Independence Institute"/>
        <s v="Inspired Life Inc"/>
        <s v="Institute for Reforming Government"/>
        <s v="Iowans for Tax Relief Foundation"/>
        <s v="John Locke Foundation"/>
        <s v="Josiah Bartlett Center for Public Policy"/>
        <s v="Kansas Policy Institute"/>
        <s v="Libertas Institute"/>
        <s v="Mackinac Center for Public Policy"/>
        <s v="Mississippi Center for Public Policy"/>
        <s v="Oklahoma Council of Public Affairs"/>
        <s v="Opportunity Arkansas"/>
        <s v="Palmetto Promise Institute"/>
        <s v="Pelican Institute for Public Policy"/>
        <s v="People United for Privacy Foundation"/>
        <s v="Pioneer Institute for Public Policy Research"/>
        <s v="Platte Institute for Economic Research"/>
        <s v="Reschool"/>
        <s v="South Carolina Policy Council"/>
        <s v="Texas Public Policy Foundation"/>
        <s v="Buckeye Institute for Public Policy Solutions"/>
        <s v="James Madison Institute"/>
        <s v="Show-Me Institute"/>
        <s v="Thomas Jefferson Institute"/>
        <s v="Wisconsin Institute for Law &amp; Liberty"/>
        <s v="Yankee Institute for Public Policy"/>
        <s v="Maine Policy Institute"/>
        <s v="Alabama Policy Institute"/>
        <s v="Talent Market"/>
        <s v="Nevada Action for School Options"/>
        <s v="Great American Foundation American Culture Foundation"/>
        <s v="John W Pope Civitas Institute"/>
        <s v="Americans for Fair Treatment"/>
        <s v="Ballotpedia Inc"/>
        <s v="Maine Heritage Policy Center"/>
        <s v="American Public Servants Charitable Foundation"/>
        <s v="Liberty Justice Center"/>
        <s v="Idaho Freedom Foundation"/>
        <s v="Garden State Initiative"/>
        <s v="Bluegrass Institute for Public Policy Solutions"/>
        <s v="Association of American Educators Foundation"/>
        <s v="American Culture Foundation / Great Communicators Foundation"/>
        <s v="Center for Independent Employees"/>
        <s v="Lucy Burns Institute"/>
        <s v="Nevada Policy Research Institute"/>
        <s v="Rhode Island Center for Freedom and Prosperity"/>
        <s v="Sutherland Institute"/>
        <s v="Tax Education Foundation Iowa"/>
        <s v="Washington Policy Center"/>
        <s v="Civitas Institute"/>
        <s v="Maryland Public Policy Institute"/>
        <s v="American Transparency"/>
        <s v="Arkansas Policy Foundation"/>
        <s v="DonorsTrust"/>
        <s v="Institute for Humane Studies"/>
        <s v="Maciver Institute"/>
        <s v="Pacific Research Institute"/>
        <s v="America's Future Foundation"/>
        <s v="Montana Policy Institute"/>
        <s v="Grassroot Institute of Hawaii"/>
        <s v="Advance Arkansas Institute"/>
        <s v="Maclver Institute"/>
        <s v="Rio Grande Foundation"/>
        <s v="Spark Freedom"/>
        <s v="State Budget Solutions"/>
        <s v="Center for Constitutional Law"/>
        <s v="Ethan Allen Institute"/>
        <s v="Freedom Foundation of Minnesota"/>
        <s v="Liberty Foundation"/>
        <s v="Opportunity Ohio"/>
        <s v="American Phoenix Foundation"/>
        <s v="First Freedom Foundation of South Dakota"/>
        <s v="Franklin Center for Government and Public Integrity"/>
        <s v="Manhattan Institute for Policy Research"/>
        <s v="North Dakota Policy institute"/>
        <s v="Operation Geek Farm"/>
        <s v="Oregon Capital Watch Fund"/>
        <s v="Texas Conservative Coalition"/>
        <s v="True The Vote"/>
        <s v="Where's The Line"/>
        <s v="Wyoming Policy Institute"/>
        <s v="Beacon Hill Institute"/>
        <s v="TNReportcom News Services"/>
        <s v="Caesar Rodney Institute"/>
        <s v="Everglades Legal Foundation"/>
        <s v="Open Government Institute of California"/>
        <s v="Pelican Institute"/>
        <s v="Solutions for New Jersey"/>
        <s v="Arkanansas Policy Foundation"/>
        <s v="Common Sense Institute of New Jersey"/>
        <s v="Liberty on the Rocks"/>
        <s v="Virginia Institute for Public Policy"/>
        <s v="Wyoming Liberty Group"/>
        <s v="Sam Adams Alliance"/>
        <s v="DC Progress"/>
        <s v="Ocean State Policy Research"/>
        <s v="Texas Watchdog"/>
        <s v="1816 Institute"/>
        <s v="Atlas Economic Research Foundation"/>
        <s v="Georgia Family Council"/>
        <s v="Louisiana Family Forum"/>
        <s v="Public Interest Institute"/>
        <s v="Public Policy Foundation of West Virginia"/>
        <s v="Tennessee Center for Policy Research"/>
        <s v="Wisconsin Policy Research Institute"/>
        <s v="Flint Hills Center For Public Policy"/>
        <s v="Great Plains Public Policy Institute"/>
        <m/>
      </sharedItems>
    </cacheField>
    <cacheField name="contribution" numFmtId="0">
      <sharedItems containsString="0" containsBlank="1" containsNumber="1" minValue="0" maxValue="8933775"/>
    </cacheField>
    <cacheField name="year" numFmtId="0">
      <sharedItems containsString="0" containsBlank="1" containsNumber="1" containsInteger="1" minValue="1993" maxValue="2022" count="30">
        <n v="2022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21"/>
        <n v="2020"/>
        <n v="2001"/>
        <n v="2000"/>
        <n v="2002"/>
        <n v="1999"/>
        <n v="1995"/>
        <n v="1996"/>
        <n v="1994"/>
        <n v="1993"/>
        <n v="1998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3">
  <r>
    <n v="990"/>
    <s v="A P Kirby Jr Foundation_State Policy Network202250000"/>
    <x v="0"/>
    <x v="0"/>
    <x v="0"/>
    <n v="50000"/>
    <x v="0"/>
    <s v="added"/>
    <m/>
  </r>
  <r>
    <n v="990"/>
    <s v="A P Kirby Jr Foundation_State Policy Network201925000"/>
    <x v="1"/>
    <x v="0"/>
    <x v="0"/>
    <n v="25000"/>
    <x v="1"/>
    <s v="added"/>
    <m/>
  </r>
  <r>
    <n v="990"/>
    <s v="A P Kirby Jr Foundation_State Policy Network201825000"/>
    <x v="2"/>
    <x v="0"/>
    <x v="0"/>
    <n v="25000"/>
    <x v="2"/>
    <s v="added"/>
    <m/>
  </r>
  <r>
    <n v="990"/>
    <s v="A P Kirby Jr Foundation_State Policy Network201750000"/>
    <x v="3"/>
    <x v="0"/>
    <x v="0"/>
    <n v="50000"/>
    <x v="3"/>
    <s v="added"/>
    <m/>
  </r>
  <r>
    <n v="990"/>
    <s v="A P Kirby Jr Foundation_State Policy Network201650000"/>
    <x v="4"/>
    <x v="0"/>
    <x v="0"/>
    <n v="50000"/>
    <x v="4"/>
    <s v="added"/>
    <m/>
  </r>
  <r>
    <n v="990"/>
    <s v="A P Kirby Jr Foundation_State Policy Network201550000"/>
    <x v="5"/>
    <x v="0"/>
    <x v="0"/>
    <n v="50000"/>
    <x v="5"/>
    <s v="added"/>
    <m/>
  </r>
  <r>
    <n v="990"/>
    <s v="A P Kirby Jr Foundation_State Policy Network2014115000"/>
    <x v="6"/>
    <x v="0"/>
    <x v="0"/>
    <n v="115000"/>
    <x v="6"/>
    <s v="added"/>
    <m/>
  </r>
  <r>
    <n v="990"/>
    <s v="A P Kirby Jr Foundation_State Policy Network2013125000"/>
    <x v="7"/>
    <x v="0"/>
    <x v="0"/>
    <n v="125000"/>
    <x v="7"/>
    <s v="added"/>
    <m/>
  </r>
  <r>
    <n v="990"/>
    <s v="A P Kirby Jr Foundation_State Policy Network201215000"/>
    <x v="8"/>
    <x v="0"/>
    <x v="0"/>
    <n v="15000"/>
    <x v="8"/>
    <s v="added"/>
    <m/>
  </r>
  <r>
    <n v="990"/>
    <s v="A P Kirby Jr Foundation_State Policy Network20115000"/>
    <x v="9"/>
    <x v="0"/>
    <x v="0"/>
    <n v="5000"/>
    <x v="9"/>
    <s v="added"/>
    <m/>
  </r>
  <r>
    <n v="990"/>
    <s v="A P Kirby Jr Foundation_State Policy Network20105000"/>
    <x v="10"/>
    <x v="0"/>
    <x v="0"/>
    <n v="5000"/>
    <x v="10"/>
    <s v="added"/>
    <m/>
  </r>
  <r>
    <n v="990"/>
    <s v="A P Kirby Jr Foundation_State Policy Network20092500"/>
    <x v="11"/>
    <x v="0"/>
    <x v="0"/>
    <n v="2500"/>
    <x v="11"/>
    <s v="added"/>
    <m/>
  </r>
  <r>
    <n v="990"/>
    <s v="A P Kirby Jr Foundation_State Policy Network20085000"/>
    <x v="12"/>
    <x v="0"/>
    <x v="0"/>
    <n v="5000"/>
    <x v="12"/>
    <s v="added"/>
    <m/>
  </r>
  <r>
    <n v="990"/>
    <s v="A P Kirby Jr Foundation_State Policy Network20075000"/>
    <x v="13"/>
    <x v="0"/>
    <x v="0"/>
    <n v="5000"/>
    <x v="13"/>
    <s v="added"/>
    <m/>
  </r>
  <r>
    <n v="990"/>
    <s v="A P Kirby Jr Foundation_State Policy Network20065000"/>
    <x v="14"/>
    <x v="0"/>
    <x v="0"/>
    <n v="5000"/>
    <x v="14"/>
    <s v="added"/>
    <m/>
  </r>
  <r>
    <n v="990"/>
    <s v="A P Kirby Jr Foundation_State Policy Network20055000"/>
    <x v="15"/>
    <x v="0"/>
    <x v="0"/>
    <n v="5000"/>
    <x v="15"/>
    <s v="added"/>
    <m/>
  </r>
  <r>
    <n v="990"/>
    <s v="A P Kirby Jr Foundation_State Policy Network20042500"/>
    <x v="16"/>
    <x v="0"/>
    <x v="0"/>
    <n v="2500"/>
    <x v="16"/>
    <s v="added"/>
    <m/>
  </r>
  <r>
    <n v="990"/>
    <s v="A P Kirby Jr Foundation_State Policy Network20032500"/>
    <x v="17"/>
    <x v="0"/>
    <x v="0"/>
    <n v="2500"/>
    <x v="17"/>
    <s v="added"/>
    <m/>
  </r>
  <r>
    <s v="https://projects.propublica.org/nonprofits/organizations/262413863/202301309349104095/IRS990PF"/>
    <s v="Acts 4 32 34_State Policy Network20222000"/>
    <x v="18"/>
    <x v="1"/>
    <x v="0"/>
    <n v="2000"/>
    <x v="0"/>
    <s v="added"/>
    <m/>
  </r>
  <r>
    <s v="https://projects.propublica.org/nonprofits/organizations/262413863/202211329349104556/IRS990PF"/>
    <s v="Acts 4 32 34_State Policy Network20212000"/>
    <x v="19"/>
    <x v="1"/>
    <x v="0"/>
    <n v="2000"/>
    <x v="18"/>
    <s v="added"/>
    <m/>
  </r>
  <r>
    <s v="https://projects.propublica.org/nonprofits/organizations/262413863/202112799349100311/IRS990PF"/>
    <s v="Acts 4 32 34_State Policy Network20202000"/>
    <x v="20"/>
    <x v="1"/>
    <x v="0"/>
    <n v="2000"/>
    <x v="19"/>
    <s v="added"/>
    <m/>
  </r>
  <r>
    <s v="https://projects.propublica.org/nonprofits/organizations/262413863/202021889349100412/IRS990PF"/>
    <s v="Acts 4 32 34_State Policy Network20191000"/>
    <x v="21"/>
    <x v="1"/>
    <x v="0"/>
    <n v="1000"/>
    <x v="1"/>
    <s v="added"/>
    <m/>
  </r>
  <r>
    <s v="https://projects.propublica.org/nonprofits/organizations/262413863/201941359349100989/IRS990PF"/>
    <s v="Acts 4 32 34_State Policy Network2018250"/>
    <x v="22"/>
    <x v="1"/>
    <x v="0"/>
    <n v="250"/>
    <x v="2"/>
    <s v="added"/>
    <m/>
  </r>
  <r>
    <s v="https://projects.propublica.org/nonprofits/organizations/262413863/201801349349103185/IRS990PF"/>
    <s v="Acts 4 32 34_State Policy Network2017100"/>
    <x v="23"/>
    <x v="1"/>
    <x v="0"/>
    <n v="100"/>
    <x v="3"/>
    <s v="added"/>
    <m/>
  </r>
  <r>
    <n v="990"/>
    <s v="Adolph Coors Foundation_State Policy Network202280000"/>
    <x v="24"/>
    <x v="2"/>
    <x v="0"/>
    <n v="80000"/>
    <x v="0"/>
    <s v="added"/>
    <m/>
  </r>
  <r>
    <n v="990"/>
    <s v="Adolph Coors Foundation_State Policy Network202180000"/>
    <x v="25"/>
    <x v="2"/>
    <x v="0"/>
    <n v="80000"/>
    <x v="18"/>
    <s v="added"/>
    <m/>
  </r>
  <r>
    <n v="990"/>
    <s v="Adolph Coors Foundation_State Policy Network202080000"/>
    <x v="26"/>
    <x v="2"/>
    <x v="0"/>
    <n v="80000"/>
    <x v="19"/>
    <s v="added"/>
    <m/>
  </r>
  <r>
    <n v="990"/>
    <s v="Adolph Coors Foundation_State Policy Network201980000"/>
    <x v="27"/>
    <x v="2"/>
    <x v="0"/>
    <n v="80000"/>
    <x v="1"/>
    <s v="added"/>
    <m/>
  </r>
  <r>
    <n v="990"/>
    <s v="Adolph Coors Foundation_State Policy Network201880000"/>
    <x v="28"/>
    <x v="2"/>
    <x v="0"/>
    <n v="80000"/>
    <x v="2"/>
    <s v="added"/>
    <m/>
  </r>
  <r>
    <n v="990"/>
    <s v="Adolph Coors Foundation_State Policy Network201780000"/>
    <x v="29"/>
    <x v="2"/>
    <x v="0"/>
    <n v="80000"/>
    <x v="3"/>
    <s v="added"/>
    <m/>
  </r>
  <r>
    <n v="990"/>
    <s v="Adolph Coors Foundation_State Policy Network201680000"/>
    <x v="30"/>
    <x v="2"/>
    <x v="0"/>
    <n v="80000"/>
    <x v="4"/>
    <s v="added"/>
    <m/>
  </r>
  <r>
    <n v="990"/>
    <s v="Adolph Coors Foundation_State Policy Network201480000"/>
    <x v="31"/>
    <x v="2"/>
    <x v="0"/>
    <n v="80000"/>
    <x v="6"/>
    <s v="added"/>
    <m/>
  </r>
  <r>
    <n v="990"/>
    <s v="Adolph Coors Foundation_State Policy Network201250000"/>
    <x v="32"/>
    <x v="2"/>
    <x v="0"/>
    <n v="50000"/>
    <x v="8"/>
    <s v="added"/>
    <m/>
  </r>
  <r>
    <s v="CT2017"/>
    <s v="Aequus Institute_State Policy Network20121000"/>
    <x v="33"/>
    <x v="3"/>
    <x v="0"/>
    <n v="1000"/>
    <x v="8"/>
    <s v="verified"/>
    <m/>
  </r>
  <r>
    <s v="CT2016"/>
    <s v="Aequus Institute_State Policy Network20101000"/>
    <x v="34"/>
    <x v="3"/>
    <x v="0"/>
    <n v="1000"/>
    <x v="10"/>
    <s v="verified"/>
    <m/>
  </r>
  <r>
    <s v="CT2017"/>
    <s v="Aequus Institute_State Policy Network20012500"/>
    <x v="35"/>
    <x v="3"/>
    <x v="0"/>
    <n v="2500"/>
    <x v="20"/>
    <s v="verified"/>
    <m/>
  </r>
  <r>
    <n v="990"/>
    <s v="Aequus Institute_State Policy Network20002500"/>
    <x v="36"/>
    <x v="3"/>
    <x v="0"/>
    <n v="2500"/>
    <x v="21"/>
    <s v="added"/>
    <m/>
  </r>
  <r>
    <s v="https://projects.propublica.org/nonprofits/organizations/113052224/202221199349102012/IRS990PF"/>
    <s v="Al &amp; Peggy Dematteis Family Foundation_State Policy Network2021500"/>
    <x v="37"/>
    <x v="4"/>
    <x v="0"/>
    <n v="500"/>
    <x v="18"/>
    <s v="added"/>
    <m/>
  </r>
  <r>
    <n v="990"/>
    <s v="Alpaugh Foundation_State Policy Network20221000"/>
    <x v="38"/>
    <x v="5"/>
    <x v="0"/>
    <n v="1000"/>
    <x v="0"/>
    <s v="added"/>
    <m/>
  </r>
  <r>
    <n v="990"/>
    <s v="Alpaugh Foundation_State Policy Network20211000"/>
    <x v="39"/>
    <x v="5"/>
    <x v="0"/>
    <n v="1000"/>
    <x v="18"/>
    <s v="added"/>
    <m/>
  </r>
  <r>
    <n v="990"/>
    <s v="Alpaugh Foundation_State Policy Network20201000"/>
    <x v="40"/>
    <x v="5"/>
    <x v="0"/>
    <n v="1000"/>
    <x v="19"/>
    <s v="added"/>
    <m/>
  </r>
  <r>
    <n v="990"/>
    <s v="Alpaugh Foundation_State Policy Network2019500"/>
    <x v="41"/>
    <x v="5"/>
    <x v="0"/>
    <n v="500"/>
    <x v="1"/>
    <s v="added"/>
    <m/>
  </r>
  <r>
    <n v="990"/>
    <s v="Alpaugh Foundation_State Policy Network2017500"/>
    <x v="42"/>
    <x v="5"/>
    <x v="0"/>
    <n v="500"/>
    <x v="3"/>
    <s v="added"/>
    <m/>
  </r>
  <r>
    <n v="990"/>
    <s v="Alpaugh Foundation_State Policy Network2016250"/>
    <x v="43"/>
    <x v="5"/>
    <x v="0"/>
    <n v="250"/>
    <x v="4"/>
    <s v="added"/>
    <m/>
  </r>
  <r>
    <n v="990"/>
    <s v="Alpaugh Foundation_State Policy Network2014"/>
    <x v="44"/>
    <x v="5"/>
    <x v="0"/>
    <m/>
    <x v="6"/>
    <s v="added"/>
    <s v="$ value unreadable"/>
  </r>
  <r>
    <n v="990"/>
    <s v="Alpaugh Foundation_State Policy Network2013500"/>
    <x v="45"/>
    <x v="5"/>
    <x v="0"/>
    <n v="500"/>
    <x v="7"/>
    <s v="added"/>
    <m/>
  </r>
  <r>
    <n v="990"/>
    <s v="Alpaugh Foundation_State Policy Network2012500"/>
    <x v="46"/>
    <x v="5"/>
    <x v="0"/>
    <n v="500"/>
    <x v="8"/>
    <s v="added"/>
    <m/>
  </r>
  <r>
    <n v="990"/>
    <s v="Alpaugh Foundation_State Policy Network2011250"/>
    <x v="47"/>
    <x v="5"/>
    <x v="0"/>
    <n v="250"/>
    <x v="9"/>
    <s v="added"/>
    <m/>
  </r>
  <r>
    <n v="990"/>
    <s v="Alpaugh Foundation_State Policy Network2010100"/>
    <x v="48"/>
    <x v="5"/>
    <x v="0"/>
    <n v="100"/>
    <x v="10"/>
    <s v="added"/>
    <m/>
  </r>
  <r>
    <s v="https://projects.propublica.org/nonprofits/organizations/237422163/202223059349100937/IRS990PF"/>
    <s v="Alta and John Franks Foundation_State Policy Network20215000"/>
    <x v="49"/>
    <x v="6"/>
    <x v="0"/>
    <n v="5000"/>
    <x v="18"/>
    <s v="added"/>
    <m/>
  </r>
  <r>
    <s v="https://projects.propublica.org/nonprofits/organizations/237422163/202141759349100414/IRS990PF"/>
    <s v="Alta and John Franks Foundation_State Policy Network20205000"/>
    <x v="50"/>
    <x v="6"/>
    <x v="0"/>
    <n v="5000"/>
    <x v="19"/>
    <s v="added"/>
    <m/>
  </r>
  <r>
    <s v="https://projects.propublica.org/nonprofits/display_990/237422163/10_2020_prefixes_23-26%2F237422163_201912_990PR_2020102017391133"/>
    <s v="Alta and John Franks Foundation_State Policy Network20195000"/>
    <x v="51"/>
    <x v="6"/>
    <x v="0"/>
    <n v="5000"/>
    <x v="1"/>
    <s v="added"/>
    <m/>
  </r>
  <r>
    <s v="https://projects.propublica.org/nonprofits/organizations/263909838/202221719349100752/IRS990PF"/>
    <s v="Alton Family Foundation_State Policy Network2021250"/>
    <x v="52"/>
    <x v="7"/>
    <x v="0"/>
    <n v="250"/>
    <x v="18"/>
    <s v="added"/>
    <m/>
  </r>
  <r>
    <s v="https://projects.propublica.org/nonprofits/organizations/592718130/202201369349102910/IRS990PF"/>
    <s v="Amaturo Family Foundation_State Policy Network2021250"/>
    <x v="53"/>
    <x v="8"/>
    <x v="0"/>
    <n v="250"/>
    <x v="18"/>
    <s v="added"/>
    <m/>
  </r>
  <r>
    <s v="https://projects.propublica.org/nonprofits/organizations/592718130/202101379349100615/IRS990PF"/>
    <s v="Amaturo Family Foundation_State Policy Network2020100"/>
    <x v="54"/>
    <x v="8"/>
    <x v="0"/>
    <n v="100"/>
    <x v="19"/>
    <s v="added"/>
    <m/>
  </r>
  <r>
    <s v="https://projects.propublica.org/nonprofits/display_990/592718130/12_2020_prefixes_54-63%2F592718130_201906_990PF_2020120117459741"/>
    <s v="Amaturo Family Foundation_State Policy Network2019300"/>
    <x v="55"/>
    <x v="8"/>
    <x v="0"/>
    <n v="300"/>
    <x v="1"/>
    <s v="added"/>
    <m/>
  </r>
  <r>
    <s v="https://projects.propublica.org/nonprofits/display_990/592718130/IRS%2F592718130_201706_990PF_2017090514700186"/>
    <s v="Amaturo Family Foundation_State Policy Network2017200"/>
    <x v="56"/>
    <x v="8"/>
    <x v="0"/>
    <n v="200"/>
    <x v="3"/>
    <s v="added"/>
    <m/>
  </r>
  <r>
    <s v="https://projects.propublica.org/nonprofits/display_990/592718130/2016_11_PF%2F59-2718130_990PF_201606"/>
    <s v="Amaturo Family Foundation_State Policy Network2016100"/>
    <x v="57"/>
    <x v="8"/>
    <x v="0"/>
    <n v="100"/>
    <x v="4"/>
    <s v="added"/>
    <m/>
  </r>
  <r>
    <s v="https://projects.propublica.org/nonprofits/display_990/592718130/2015_02_PF%2F59-2718130_990PF_201406"/>
    <s v="Amaturo Family Foundation_State Policy Network2014100"/>
    <x v="58"/>
    <x v="8"/>
    <x v="0"/>
    <n v="100"/>
    <x v="6"/>
    <s v="added"/>
    <m/>
  </r>
  <r>
    <s v="https://projects.propublica.org/nonprofits/display_990/592718130/2013_11_PF%2F59-2718130_990PF_201306"/>
    <s v="Amaturo Family Foundation_State Policy Network2013100"/>
    <x v="59"/>
    <x v="8"/>
    <x v="0"/>
    <n v="100"/>
    <x v="7"/>
    <s v="added"/>
    <m/>
  </r>
  <r>
    <s v="https://projects.propublica.org/nonprofits/organizations/341747398/202222949349301137/IRS990ScheduleI"/>
    <s v="American Endowment Foundation_State Policy Network20216500"/>
    <x v="60"/>
    <x v="9"/>
    <x v="0"/>
    <n v="6500"/>
    <x v="18"/>
    <s v="added"/>
    <m/>
  </r>
  <r>
    <s v="https://projects.propublica.org/nonprofits/organizations/341747398/201923179349302672/IRS990ScheduleI"/>
    <s v="American Endowment Foundation_State Policy Network20185250"/>
    <x v="61"/>
    <x v="9"/>
    <x v="0"/>
    <n v="5250"/>
    <x v="2"/>
    <s v="added"/>
    <m/>
  </r>
  <r>
    <s v="https://projects.propublica.org/nonprofits/display_990/341747398/2016_09_EO%2F34-1747398_990_201512"/>
    <s v="American Endowment Foundation_State Policy Network20156000"/>
    <x v="62"/>
    <x v="9"/>
    <x v="0"/>
    <n v="6000"/>
    <x v="5"/>
    <s v="added"/>
    <m/>
  </r>
  <r>
    <n v="990"/>
    <s v="American Fuel and Petrochemical Manufacturers_State Policy Network202110000"/>
    <x v="63"/>
    <x v="10"/>
    <x v="0"/>
    <n v="10000"/>
    <x v="18"/>
    <s v="added"/>
    <m/>
  </r>
  <r>
    <n v="990"/>
    <s v="American Fuel and Petrochemical Manufacturers_State Policy Network201910000"/>
    <x v="64"/>
    <x v="10"/>
    <x v="0"/>
    <n v="10000"/>
    <x v="1"/>
    <s v="added"/>
    <m/>
  </r>
  <r>
    <n v="990"/>
    <s v="American Fuel and Petrochemical Manufacturers_State Policy Network201816000"/>
    <x v="65"/>
    <x v="10"/>
    <x v="0"/>
    <n v="16000"/>
    <x v="2"/>
    <s v="added"/>
    <m/>
  </r>
  <r>
    <n v="990"/>
    <s v="American Fuel and Petrochemical Manufacturers_State Policy Network201715000"/>
    <x v="66"/>
    <x v="10"/>
    <x v="0"/>
    <n v="15000"/>
    <x v="3"/>
    <s v="added"/>
    <m/>
  </r>
  <r>
    <n v="990"/>
    <s v="American Legislative Exchange Council_State Policy Network20135000"/>
    <x v="67"/>
    <x v="11"/>
    <x v="0"/>
    <n v="5000"/>
    <x v="7"/>
    <s v="verified"/>
    <m/>
  </r>
  <r>
    <n v="990"/>
    <s v="American Legislative Exchange Council_State Policy Network201210000"/>
    <x v="68"/>
    <x v="11"/>
    <x v="0"/>
    <n v="10000"/>
    <x v="8"/>
    <s v="verified"/>
    <m/>
  </r>
  <r>
    <n v="990"/>
    <s v="Americans for Prosperity Foundation_State Policy Network201215000"/>
    <x v="69"/>
    <x v="12"/>
    <x v="0"/>
    <n v="15000"/>
    <x v="8"/>
    <s v="added"/>
    <m/>
  </r>
  <r>
    <n v="990"/>
    <s v="Americans for Tax Reform Foundation_State Policy Network2002500"/>
    <x v="70"/>
    <x v="13"/>
    <x v="0"/>
    <n v="500"/>
    <x v="22"/>
    <s v="added"/>
    <m/>
  </r>
  <r>
    <s v="https://projects.propublica.org/nonprofits/organizations/386061335/201801439349100600/IRS990PF"/>
    <s v="Anna Paulina Foundation_State Policy Network2017500"/>
    <x v="71"/>
    <x v="14"/>
    <x v="0"/>
    <n v="500"/>
    <x v="3"/>
    <s v="added"/>
    <m/>
  </r>
  <r>
    <s v="https://projects.propublica.org/nonprofits/display_990/386061335/2011_05_PF%2F38-6061335_990PF_201012"/>
    <s v="Anna Paulina Foundation_State Policy Network20105000"/>
    <x v="72"/>
    <x v="14"/>
    <x v="0"/>
    <n v="5000"/>
    <x v="10"/>
    <s v="added"/>
    <m/>
  </r>
  <r>
    <s v="https://projects.propublica.org/nonprofits/organizations/866051042/202003219349321135/IRS990ScheduleI"/>
    <s v="Arizona State University Foundation for a New American University_State Policy Network202045000"/>
    <x v="73"/>
    <x v="15"/>
    <x v="0"/>
    <n v="45000"/>
    <x v="19"/>
    <s v="added"/>
    <m/>
  </r>
  <r>
    <n v="990"/>
    <s v="Armstrong Foundation_State Policy Network202135000"/>
    <x v="74"/>
    <x v="16"/>
    <x v="0"/>
    <n v="35000"/>
    <x v="18"/>
    <s v="added"/>
    <m/>
  </r>
  <r>
    <n v="990"/>
    <s v="Armstrong Foundation_State Policy Network202035000"/>
    <x v="75"/>
    <x v="16"/>
    <x v="0"/>
    <n v="35000"/>
    <x v="19"/>
    <s v="added"/>
    <m/>
  </r>
  <r>
    <n v="990"/>
    <s v="Armstrong Foundation_State Policy Network201930000"/>
    <x v="76"/>
    <x v="16"/>
    <x v="0"/>
    <n v="30000"/>
    <x v="1"/>
    <s v="added"/>
    <m/>
  </r>
  <r>
    <n v="990"/>
    <s v="Armstrong Foundation_State Policy Network201830000"/>
    <x v="77"/>
    <x v="16"/>
    <x v="0"/>
    <n v="30000"/>
    <x v="2"/>
    <s v="added"/>
    <m/>
  </r>
  <r>
    <n v="990"/>
    <s v="Armstrong Foundation_State Policy Network201725000"/>
    <x v="78"/>
    <x v="16"/>
    <x v="0"/>
    <n v="25000"/>
    <x v="3"/>
    <s v="added"/>
    <m/>
  </r>
  <r>
    <n v="990"/>
    <s v="Armstrong Foundation_State Policy Network201635000"/>
    <x v="79"/>
    <x v="16"/>
    <x v="0"/>
    <n v="35000"/>
    <x v="4"/>
    <s v="added"/>
    <m/>
  </r>
  <r>
    <n v="990"/>
    <s v="Armstrong Foundation_State Policy Network201535000"/>
    <x v="80"/>
    <x v="16"/>
    <x v="0"/>
    <n v="35000"/>
    <x v="5"/>
    <s v="added"/>
    <m/>
  </r>
  <r>
    <n v="990"/>
    <s v="Armstrong Foundation_State Policy Network201430000"/>
    <x v="81"/>
    <x v="16"/>
    <x v="0"/>
    <n v="30000"/>
    <x v="6"/>
    <s v="added"/>
    <m/>
  </r>
  <r>
    <n v="990"/>
    <s v="Armstrong Foundation_State Policy Network201310000"/>
    <x v="82"/>
    <x v="16"/>
    <x v="0"/>
    <n v="10000"/>
    <x v="7"/>
    <s v="added"/>
    <m/>
  </r>
  <r>
    <s v="CT2017"/>
    <s v="Armstrong Foundation_State Policy Network201210000"/>
    <x v="83"/>
    <x v="16"/>
    <x v="0"/>
    <n v="10000"/>
    <x v="8"/>
    <s v="verified"/>
    <m/>
  </r>
  <r>
    <s v="CT2016"/>
    <s v="Armstrong Foundation_State Policy Network201110000"/>
    <x v="84"/>
    <x v="16"/>
    <x v="0"/>
    <n v="10000"/>
    <x v="9"/>
    <s v="verified"/>
    <m/>
  </r>
  <r>
    <s v="CT2016"/>
    <s v="Armstrong Foundation_State Policy Network201015000"/>
    <x v="85"/>
    <x v="16"/>
    <x v="0"/>
    <n v="15000"/>
    <x v="10"/>
    <s v="verified"/>
    <m/>
  </r>
  <r>
    <s v="CT2016"/>
    <s v="Armstrong Foundation_State Policy Network20095000"/>
    <x v="86"/>
    <x v="16"/>
    <x v="0"/>
    <n v="5000"/>
    <x v="11"/>
    <s v="verified"/>
    <m/>
  </r>
  <r>
    <s v="CT2016"/>
    <s v="Armstrong Foundation_State Policy Network200810000"/>
    <x v="87"/>
    <x v="16"/>
    <x v="0"/>
    <n v="10000"/>
    <x v="12"/>
    <s v="verified"/>
    <m/>
  </r>
  <r>
    <s v="CT2016"/>
    <s v="Armstrong Foundation_State Policy Network20075000"/>
    <x v="88"/>
    <x v="16"/>
    <x v="0"/>
    <n v="5000"/>
    <x v="13"/>
    <s v="verified"/>
    <m/>
  </r>
  <r>
    <s v="https://projects.propublica.org/nonprofits/organizations/800111331/201640779349100104/IRS990PF"/>
    <s v="Arthur L &amp; Lily D Walters Foundation_State Policy Network2015125"/>
    <x v="89"/>
    <x v="17"/>
    <x v="0"/>
    <n v="125"/>
    <x v="5"/>
    <s v="added"/>
    <m/>
  </r>
  <r>
    <s v="CT2017"/>
    <s v="Atlas Economic Research Foundation_State Policy Network201410000"/>
    <x v="90"/>
    <x v="18"/>
    <x v="0"/>
    <n v="10000"/>
    <x v="6"/>
    <s v="verified"/>
    <m/>
  </r>
  <r>
    <s v="CT2017"/>
    <s v="Atlas Economic Research Foundation_State Policy Network201315000"/>
    <x v="91"/>
    <x v="18"/>
    <x v="0"/>
    <n v="15000"/>
    <x v="7"/>
    <s v="verified"/>
    <m/>
  </r>
  <r>
    <n v="990"/>
    <s v="Bader Family Foundation_State Policy Network20206000"/>
    <x v="92"/>
    <x v="19"/>
    <x v="0"/>
    <n v="6000"/>
    <x v="19"/>
    <s v="added"/>
    <m/>
  </r>
  <r>
    <n v="990"/>
    <s v="Bader Family Foundation_State Policy Network20190"/>
    <x v="93"/>
    <x v="19"/>
    <x v="0"/>
    <n v="0"/>
    <x v="1"/>
    <s v="added"/>
    <m/>
  </r>
  <r>
    <n v="990"/>
    <s v="Bader Family Foundation_State Policy Network20182000"/>
    <x v="94"/>
    <x v="19"/>
    <x v="0"/>
    <n v="2000"/>
    <x v="2"/>
    <s v="added"/>
    <m/>
  </r>
  <r>
    <n v="990"/>
    <s v="Bailey Family Foundation_State Policy Network20212040"/>
    <x v="95"/>
    <x v="20"/>
    <x v="0"/>
    <n v="2040"/>
    <x v="18"/>
    <s v="added"/>
    <m/>
  </r>
  <r>
    <n v="990"/>
    <s v="Bailey Family Foundation_State Policy Network20202040"/>
    <x v="96"/>
    <x v="20"/>
    <x v="0"/>
    <n v="2040"/>
    <x v="19"/>
    <s v="added"/>
    <m/>
  </r>
  <r>
    <n v="990"/>
    <s v="Bailey Family Foundation_State Policy Network20191000"/>
    <x v="97"/>
    <x v="20"/>
    <x v="0"/>
    <n v="1000"/>
    <x v="1"/>
    <s v="added"/>
    <m/>
  </r>
  <r>
    <n v="990"/>
    <s v="Bailey Family Foundation_State Policy Network20181200"/>
    <x v="98"/>
    <x v="20"/>
    <x v="0"/>
    <n v="1200"/>
    <x v="2"/>
    <s v="added"/>
    <m/>
  </r>
  <r>
    <n v="990"/>
    <s v="Bailey Family Foundation_State Policy Network2017750"/>
    <x v="99"/>
    <x v="20"/>
    <x v="0"/>
    <n v="750"/>
    <x v="3"/>
    <s v="added"/>
    <m/>
  </r>
  <r>
    <n v="990"/>
    <s v="Bailey Family Foundation_State Policy Network20161700"/>
    <x v="100"/>
    <x v="20"/>
    <x v="0"/>
    <n v="1700"/>
    <x v="4"/>
    <s v="added"/>
    <m/>
  </r>
  <r>
    <n v="990"/>
    <s v="Bailey Family Foundation_State Policy Network20152150"/>
    <x v="101"/>
    <x v="20"/>
    <x v="0"/>
    <n v="2150"/>
    <x v="5"/>
    <s v="added"/>
    <m/>
  </r>
  <r>
    <n v="990"/>
    <s v="Bailey Family Foundation_State Policy Network20142750"/>
    <x v="102"/>
    <x v="20"/>
    <x v="0"/>
    <n v="2750"/>
    <x v="6"/>
    <s v="added"/>
    <m/>
  </r>
  <r>
    <n v="990"/>
    <s v="Bailey Family Foundation_State Policy Network20131750"/>
    <x v="103"/>
    <x v="20"/>
    <x v="0"/>
    <n v="1750"/>
    <x v="7"/>
    <s v="added"/>
    <m/>
  </r>
  <r>
    <n v="990"/>
    <s v="Bailey Family Foundation_State Policy Network2012600"/>
    <x v="104"/>
    <x v="20"/>
    <x v="0"/>
    <n v="600"/>
    <x v="8"/>
    <s v="added"/>
    <m/>
  </r>
  <r>
    <s v="https://projects.propublica.org/nonprofits/redirect_to_990/593154364/2011"/>
    <s v="Bailey Family Foundation_State Policy Network2011350"/>
    <x v="105"/>
    <x v="20"/>
    <x v="0"/>
    <n v="350"/>
    <x v="9"/>
    <s v="added"/>
    <m/>
  </r>
  <r>
    <s v="https://projects.propublica.org/nonprofits/organizations/541716303/202022729349100612/IRS990PF"/>
    <s v="Bane Foundation_State Policy Network2019200"/>
    <x v="106"/>
    <x v="21"/>
    <x v="0"/>
    <n v="200"/>
    <x v="1"/>
    <s v="added"/>
    <m/>
  </r>
  <r>
    <s v="https://projects.propublica.org/nonprofits/organizations/200721133/202131479349100003/IRS990PF"/>
    <s v="Bank of America Charitable Foundation_State Policy Network2020100"/>
    <x v="107"/>
    <x v="22"/>
    <x v="0"/>
    <n v="100"/>
    <x v="19"/>
    <s v="added"/>
    <m/>
  </r>
  <r>
    <s v="https://projects.propublica.org/nonprofits/download-xml?object_id=202131479349100003"/>
    <s v="Bank of America Charitable Foundation_State Policy Network2019100"/>
    <x v="108"/>
    <x v="22"/>
    <x v="0"/>
    <n v="100"/>
    <x v="1"/>
    <s v="added"/>
    <m/>
  </r>
  <r>
    <s v="https://projects.propublica.org/nonprofits/organizations/200721133/201811359349103516/IRS990PF"/>
    <s v="Bank of America Charitable Foundation_State Policy Network201725"/>
    <x v="109"/>
    <x v="22"/>
    <x v="0"/>
    <n v="25"/>
    <x v="3"/>
    <s v="added"/>
    <m/>
  </r>
  <r>
    <s v="https://projects.propublica.org/nonprofits/organizations/200721133/201621349349102037/IRS990PF"/>
    <s v="Bank of America Charitable Foundation_State Policy Network201550"/>
    <x v="110"/>
    <x v="22"/>
    <x v="0"/>
    <n v="50"/>
    <x v="5"/>
    <s v="added"/>
    <m/>
  </r>
  <r>
    <s v="CT2016"/>
    <s v="Barbara and Barre Seid Foundation_State Policy Network2006150000"/>
    <x v="111"/>
    <x v="23"/>
    <x v="0"/>
    <n v="150000"/>
    <x v="14"/>
    <s v="verified"/>
    <m/>
  </r>
  <r>
    <n v="990"/>
    <s v="Barney Family Foundation_State Policy Network2019100000"/>
    <x v="112"/>
    <x v="24"/>
    <x v="0"/>
    <n v="100000"/>
    <x v="1"/>
    <s v="added"/>
    <m/>
  </r>
  <r>
    <n v="990"/>
    <s v="Barney Family Foundation_State Policy Network201850000"/>
    <x v="113"/>
    <x v="24"/>
    <x v="0"/>
    <n v="50000"/>
    <x v="2"/>
    <s v="added"/>
    <m/>
  </r>
  <r>
    <n v="990"/>
    <s v="Barney Family Foundation_State Policy Network201750000"/>
    <x v="114"/>
    <x v="24"/>
    <x v="0"/>
    <n v="50000"/>
    <x v="3"/>
    <s v="added"/>
    <m/>
  </r>
  <r>
    <n v="990"/>
    <s v="Barney Family Foundation_State Policy Network201650000"/>
    <x v="115"/>
    <x v="24"/>
    <x v="0"/>
    <n v="50000"/>
    <x v="4"/>
    <s v="added"/>
    <m/>
  </r>
  <r>
    <n v="990"/>
    <s v="Barney Family Foundation_State Policy Network201540000"/>
    <x v="116"/>
    <x v="24"/>
    <x v="0"/>
    <n v="40000"/>
    <x v="5"/>
    <s v="added"/>
    <m/>
  </r>
  <r>
    <n v="990"/>
    <s v="Barney Family Foundation_State Policy Network201440000"/>
    <x v="117"/>
    <x v="24"/>
    <x v="0"/>
    <n v="40000"/>
    <x v="6"/>
    <s v="added"/>
    <m/>
  </r>
  <r>
    <n v="990"/>
    <s v="Barney Family Foundation_State Policy Network201325000"/>
    <x v="118"/>
    <x v="24"/>
    <x v="0"/>
    <n v="25000"/>
    <x v="7"/>
    <s v="added"/>
    <m/>
  </r>
  <r>
    <s v="CT2017"/>
    <s v="Barney Family Foundation_State Policy Network201210000"/>
    <x v="119"/>
    <x v="24"/>
    <x v="0"/>
    <n v="10000"/>
    <x v="8"/>
    <s v="verified"/>
    <m/>
  </r>
  <r>
    <s v="https://projects.propublica.org/nonprofits/organizations/232897351/202203199349107210/IRS990PF"/>
    <s v="Beach Foundation_State Policy Network202115000"/>
    <x v="120"/>
    <x v="25"/>
    <x v="0"/>
    <n v="15000"/>
    <x v="18"/>
    <s v="added"/>
    <m/>
  </r>
  <r>
    <s v="https://projects.propublica.org/nonprofits/organizations/232897351/202220459349101407/IRS990PF"/>
    <s v="Beach Foundation_State Policy Network202015000"/>
    <x v="121"/>
    <x v="25"/>
    <x v="0"/>
    <n v="15000"/>
    <x v="19"/>
    <s v="added"/>
    <m/>
  </r>
  <r>
    <s v="https://projects.propublica.org/nonprofits/organizations/237411083/202331989349100233/IRS990PF"/>
    <s v="Beth and Ravenel Curry Foundation_State Policy Network2022200000"/>
    <x v="122"/>
    <x v="26"/>
    <x v="0"/>
    <n v="200000"/>
    <x v="0"/>
    <s v="added"/>
    <m/>
  </r>
  <r>
    <s v="https://projects.propublica.org/nonprofits/organizations/251705824/201533169349101348/IRS990PF"/>
    <s v="Black Family Foundation_State Policy Network20143750"/>
    <x v="123"/>
    <x v="27"/>
    <x v="0"/>
    <n v="3750"/>
    <x v="6"/>
    <s v="added"/>
    <m/>
  </r>
  <r>
    <n v="990"/>
    <s v="Bodman Foundation_State Policy Network2004500"/>
    <x v="124"/>
    <x v="28"/>
    <x v="0"/>
    <n v="500"/>
    <x v="16"/>
    <s v="added"/>
    <m/>
  </r>
  <r>
    <n v="990"/>
    <s v="Bodman Foundation_State Policy Network2002250"/>
    <x v="125"/>
    <x v="28"/>
    <x v="0"/>
    <n v="250"/>
    <x v="22"/>
    <s v="added"/>
    <m/>
  </r>
  <r>
    <n v="990"/>
    <s v="Bradley Impact Fund_State Policy Network202145050"/>
    <x v="126"/>
    <x v="29"/>
    <x v="0"/>
    <n v="45050"/>
    <x v="18"/>
    <s v="added"/>
    <m/>
  </r>
  <r>
    <n v="990"/>
    <s v="Bradley Impact Fund_State Policy Network201818000"/>
    <x v="127"/>
    <x v="29"/>
    <x v="0"/>
    <n v="18000"/>
    <x v="2"/>
    <s v="added"/>
    <m/>
  </r>
  <r>
    <n v="990"/>
    <s v="Bradley Impact Fund_State Policy Network201710000"/>
    <x v="128"/>
    <x v="29"/>
    <x v="0"/>
    <n v="10000"/>
    <x v="3"/>
    <s v="added"/>
    <m/>
  </r>
  <r>
    <n v="990"/>
    <s v="Bradley Impact Fund_State Policy Network20158000"/>
    <x v="129"/>
    <x v="29"/>
    <x v="0"/>
    <n v="8000"/>
    <x v="5"/>
    <s v="added"/>
    <m/>
  </r>
  <r>
    <n v="990"/>
    <s v="Bradley Impact Fund_State Policy Network20148000"/>
    <x v="130"/>
    <x v="29"/>
    <x v="0"/>
    <n v="8000"/>
    <x v="6"/>
    <s v="added"/>
    <m/>
  </r>
  <r>
    <n v="990"/>
    <s v="Bradley Impact Fund_State Policy Network20137500"/>
    <x v="131"/>
    <x v="29"/>
    <x v="0"/>
    <n v="7500"/>
    <x v="7"/>
    <s v="added"/>
    <m/>
  </r>
  <r>
    <s v="https://projects.propublica.org/nonprofits/organizations/266139249/202223139349102357/IRS990PF"/>
    <s v="Brian &amp; Joelle Kelly Family Foundation_State Policy Network20211000"/>
    <x v="132"/>
    <x v="30"/>
    <x v="0"/>
    <n v="1000"/>
    <x v="18"/>
    <s v="added"/>
    <m/>
  </r>
  <r>
    <s v="https://projects.propublica.org/nonprofits/organizations/266139249/201742629349100609/IRS990PF"/>
    <s v="Brian &amp; Joelle Kelly Family Foundation_State Policy Network2016600"/>
    <x v="133"/>
    <x v="30"/>
    <x v="0"/>
    <n v="600"/>
    <x v="4"/>
    <s v="added"/>
    <m/>
  </r>
  <r>
    <s v="https://projects.propublica.org/nonprofits/redirect_to_990/266139249/2012"/>
    <s v="Brian &amp; Joelle Kelly Family Foundation_State Policy Network2012700"/>
    <x v="134"/>
    <x v="30"/>
    <x v="0"/>
    <n v="700"/>
    <x v="8"/>
    <s v="added"/>
    <m/>
  </r>
  <r>
    <s v="https://projects.propublica.org/nonprofits/display_990/266139249/2012_05_PF%2F26-6139249_990PF_201112"/>
    <s v="Brian &amp; Joelle Kelly Family Foundation_State Policy Network2011600"/>
    <x v="135"/>
    <x v="30"/>
    <x v="0"/>
    <n v="600"/>
    <x v="9"/>
    <s v="added"/>
    <m/>
  </r>
  <r>
    <s v="https://projects.propublica.org/nonprofits/organizations/207006437/202001919349100240/IRS990PF"/>
    <s v="Briggs Foundation_State Policy Network2019100"/>
    <x v="136"/>
    <x v="31"/>
    <x v="0"/>
    <n v="100"/>
    <x v="1"/>
    <s v="added"/>
    <m/>
  </r>
  <r>
    <s v="https://projects.propublica.org/nonprofits/organizations/382746657/201731739349100313/IRS990PF"/>
    <s v="C &amp; N Foundation_State Policy Network2017500"/>
    <x v="137"/>
    <x v="32"/>
    <x v="0"/>
    <n v="500"/>
    <x v="3"/>
    <s v="added"/>
    <m/>
  </r>
  <r>
    <s v="https://projects.propublica.org/nonprofits/organizations/382746657/201632039349100023/IRS990PF"/>
    <s v="C &amp; N Foundation_State Policy Network2016500"/>
    <x v="138"/>
    <x v="32"/>
    <x v="0"/>
    <n v="500"/>
    <x v="4"/>
    <s v="added"/>
    <m/>
  </r>
  <r>
    <s v="https://projects.propublica.org/nonprofits/organizations/474003028/202301159349100530/IRS990PF"/>
    <s v="C and A Johnson Family Foundation_State Policy Network202210000"/>
    <x v="139"/>
    <x v="33"/>
    <x v="0"/>
    <n v="10000"/>
    <x v="0"/>
    <s v="added"/>
    <m/>
  </r>
  <r>
    <s v="https://projects.propublica.org/nonprofits/organizations/474003028/202200899349100220/IRS990PF"/>
    <s v="C and A Johnson Family Foundation_State Policy Network202110000"/>
    <x v="140"/>
    <x v="33"/>
    <x v="0"/>
    <n v="10000"/>
    <x v="18"/>
    <s v="added"/>
    <m/>
  </r>
  <r>
    <s v="https://projects.propublica.org/nonprofits/organizations/474003028/202101039349100830/IRS990PF"/>
    <s v="C and A Johnson Family Foundation_State Policy Network202010000"/>
    <x v="141"/>
    <x v="33"/>
    <x v="0"/>
    <n v="10000"/>
    <x v="19"/>
    <s v="added"/>
    <m/>
  </r>
  <r>
    <s v="https://projects.propublica.org/nonprofits/display_990/474003028/04_2021_prefixes_47-47%2F474003028_201912_990PF_2021041017919021"/>
    <s v="C and A Johnson Family Foundation_State Policy Network201910000"/>
    <x v="142"/>
    <x v="33"/>
    <x v="0"/>
    <n v="10000"/>
    <x v="1"/>
    <s v="added"/>
    <m/>
  </r>
  <r>
    <s v="https://projects.propublica.org/nonprofits/display_990/474003028/10_2019_prefixes_47-51%2F474003028_201812_990PF_2019100816727955"/>
    <s v="C and A Johnson Family Foundation_State Policy Network201810000"/>
    <x v="143"/>
    <x v="33"/>
    <x v="0"/>
    <n v="10000"/>
    <x v="2"/>
    <s v="added"/>
    <m/>
  </r>
  <r>
    <s v="https://projects.propublica.org/nonprofits/organizations/363505813/202241339349100449/full"/>
    <s v="Caridad Corporation_State Policy Network2021500"/>
    <x v="144"/>
    <x v="34"/>
    <x v="0"/>
    <n v="500"/>
    <x v="18"/>
    <s v="added"/>
    <m/>
  </r>
  <r>
    <s v="CT2017"/>
    <s v="Castle Rock Foundation_State Policy Network201020000"/>
    <x v="145"/>
    <x v="35"/>
    <x v="0"/>
    <n v="20000"/>
    <x v="10"/>
    <s v="verified"/>
    <m/>
  </r>
  <r>
    <s v="CT2017"/>
    <s v="Castle Rock Foundation_State Policy Network200935000"/>
    <x v="146"/>
    <x v="35"/>
    <x v="0"/>
    <n v="35000"/>
    <x v="11"/>
    <s v="verified"/>
    <m/>
  </r>
  <r>
    <s v="CT2016"/>
    <s v="Castle Rock Foundation_State Policy Network200730000"/>
    <x v="147"/>
    <x v="35"/>
    <x v="0"/>
    <n v="30000"/>
    <x v="13"/>
    <s v="verified"/>
    <m/>
  </r>
  <r>
    <s v="CT2016"/>
    <s v="Castle Rock Foundation_State Policy Network200525000"/>
    <x v="148"/>
    <x v="35"/>
    <x v="0"/>
    <n v="25000"/>
    <x v="15"/>
    <s v="verified"/>
    <m/>
  </r>
  <r>
    <s v="CT2016"/>
    <s v="Castle Rock Foundation_State Policy Network200225000"/>
    <x v="149"/>
    <x v="35"/>
    <x v="0"/>
    <n v="25000"/>
    <x v="22"/>
    <s v="verified"/>
    <m/>
  </r>
  <r>
    <n v="990"/>
    <s v="Catherine V and Martin Hofmann Foundation_State Policy Network2021300"/>
    <x v="150"/>
    <x v="36"/>
    <x v="0"/>
    <n v="300"/>
    <x v="18"/>
    <s v="added"/>
    <m/>
  </r>
  <r>
    <n v="990"/>
    <s v="Catherine V and Martin Hofmann Foundation_State Policy Network2020300"/>
    <x v="151"/>
    <x v="36"/>
    <x v="0"/>
    <n v="300"/>
    <x v="19"/>
    <s v="added"/>
    <m/>
  </r>
  <r>
    <n v="990"/>
    <s v="Catherine V and Martin Hofmann Foundation_State Policy Network2019300"/>
    <x v="152"/>
    <x v="36"/>
    <x v="0"/>
    <n v="300"/>
    <x v="1"/>
    <s v="added"/>
    <m/>
  </r>
  <r>
    <n v="990"/>
    <s v="Catherine V and Martin Hofmann Foundation_State Policy Network2018300"/>
    <x v="153"/>
    <x v="36"/>
    <x v="0"/>
    <n v="300"/>
    <x v="2"/>
    <s v="added"/>
    <m/>
  </r>
  <r>
    <n v="990"/>
    <s v="Catherine V and Martin Hofmann Foundation_State Policy Network2017275"/>
    <x v="154"/>
    <x v="36"/>
    <x v="0"/>
    <n v="275"/>
    <x v="3"/>
    <s v="added"/>
    <m/>
  </r>
  <r>
    <n v="990"/>
    <s v="Catherine V and Martin Hofmann Foundation_State Policy Network2016250"/>
    <x v="155"/>
    <x v="36"/>
    <x v="0"/>
    <n v="250"/>
    <x v="4"/>
    <s v="added"/>
    <m/>
  </r>
  <r>
    <n v="990"/>
    <s v="Catherine V and Martin Hofmann Foundation_State Policy Network2015275"/>
    <x v="156"/>
    <x v="36"/>
    <x v="0"/>
    <n v="275"/>
    <x v="5"/>
    <s v="added"/>
    <m/>
  </r>
  <r>
    <n v="990"/>
    <s v="Catherine V and Martin Hofmann Foundation_State Policy Network2014250"/>
    <x v="157"/>
    <x v="36"/>
    <x v="0"/>
    <n v="250"/>
    <x v="6"/>
    <s v="added"/>
    <m/>
  </r>
  <r>
    <n v="990"/>
    <s v="Catherine V and Martin Hofmann Foundation_State Policy Network2013250"/>
    <x v="158"/>
    <x v="36"/>
    <x v="0"/>
    <n v="250"/>
    <x v="7"/>
    <s v="added"/>
    <m/>
  </r>
  <r>
    <n v="990"/>
    <s v="Center for Growth and Opportunity_State Policy Network201815000"/>
    <x v="159"/>
    <x v="37"/>
    <x v="0"/>
    <n v="15000"/>
    <x v="2"/>
    <s v="added"/>
    <m/>
  </r>
  <r>
    <s v="https://projects.propublica.org/nonprofits/organizations/260005176/201611379349308121/IRS990"/>
    <s v="Center for Independent Employees_State Policy Network20151000"/>
    <x v="160"/>
    <x v="38"/>
    <x v="0"/>
    <n v="1000"/>
    <x v="5"/>
    <s v="added"/>
    <m/>
  </r>
  <r>
    <s v="https://projects.propublica.org/nonprofits/organizations/581817816/202243079349100504/IRS990PF"/>
    <s v="Challenge Foundation_State Policy Network2021150000"/>
    <x v="161"/>
    <x v="39"/>
    <x v="0"/>
    <n v="150000"/>
    <x v="18"/>
    <s v="added"/>
    <m/>
  </r>
  <r>
    <s v="https://projects.propublica.org/nonprofits/organizations/581817816/202143199349107664/IRS990PF"/>
    <s v="Challenge Foundation_State Policy Network202050000"/>
    <x v="162"/>
    <x v="39"/>
    <x v="0"/>
    <n v="50000"/>
    <x v="19"/>
    <s v="added"/>
    <m/>
  </r>
  <r>
    <s v="https://projects.propublica.org/nonprofits/organizations/581817816/202043219349105804/IRS990PF"/>
    <s v="Challenge Foundation_State Policy Network201950000"/>
    <x v="163"/>
    <x v="39"/>
    <x v="0"/>
    <n v="50000"/>
    <x v="1"/>
    <s v="added"/>
    <m/>
  </r>
  <r>
    <s v="https://projects.propublica.org/nonprofits/organizations/581817816/201923199349105232/IRS990PF"/>
    <s v="Challenge Foundation_State Policy Network2018100000"/>
    <x v="164"/>
    <x v="39"/>
    <x v="0"/>
    <n v="100000"/>
    <x v="2"/>
    <s v="added"/>
    <m/>
  </r>
  <r>
    <n v="990"/>
    <s v="Charles G Koch Charitable Foundation_State Policy Network20214827"/>
    <x v="165"/>
    <x v="40"/>
    <x v="0"/>
    <n v="4827"/>
    <x v="18"/>
    <s v="added"/>
    <m/>
  </r>
  <r>
    <n v="990"/>
    <s v="Charles G Koch Charitable Foundation_State Policy Network20204827"/>
    <x v="166"/>
    <x v="40"/>
    <x v="0"/>
    <n v="4827"/>
    <x v="19"/>
    <s v="added"/>
    <m/>
  </r>
  <r>
    <n v="990"/>
    <s v="Charles G Koch Charitable Foundation_State Policy Network20193850"/>
    <x v="167"/>
    <x v="40"/>
    <x v="0"/>
    <n v="3850"/>
    <x v="1"/>
    <s v="added"/>
    <m/>
  </r>
  <r>
    <n v="990"/>
    <s v="Charles G Koch Charitable Foundation_State Policy Network20176626"/>
    <x v="168"/>
    <x v="40"/>
    <x v="0"/>
    <n v="6626"/>
    <x v="3"/>
    <s v="added"/>
    <m/>
  </r>
  <r>
    <n v="990"/>
    <s v="Charles G Koch Charitable Foundation_State Policy Network201613564"/>
    <x v="169"/>
    <x v="40"/>
    <x v="0"/>
    <n v="13564"/>
    <x v="4"/>
    <s v="added"/>
    <m/>
  </r>
  <r>
    <n v="990"/>
    <s v="Charles G Koch Charitable Foundation_State Policy Network201511738"/>
    <x v="170"/>
    <x v="40"/>
    <x v="0"/>
    <n v="11738"/>
    <x v="5"/>
    <s v="added"/>
    <m/>
  </r>
  <r>
    <s v="CT2017"/>
    <s v="Charles G Koch Charitable Foundation_State Policy Network201419200"/>
    <x v="171"/>
    <x v="40"/>
    <x v="0"/>
    <n v="19200"/>
    <x v="6"/>
    <s v="verified"/>
    <m/>
  </r>
  <r>
    <s v="CT2017"/>
    <s v="Charles G Koch Charitable Foundation_State Policy Network20121000"/>
    <x v="172"/>
    <x v="40"/>
    <x v="0"/>
    <n v="1000"/>
    <x v="8"/>
    <s v="verified"/>
    <m/>
  </r>
  <r>
    <s v="CT2017"/>
    <s v="Charles G Koch Charitable Foundation_State Policy Network201214223"/>
    <x v="172"/>
    <x v="40"/>
    <x v="0"/>
    <n v="14223"/>
    <x v="8"/>
    <s v="verified"/>
    <m/>
  </r>
  <r>
    <n v="990"/>
    <s v="Charles Koch Institute_State Policy Network20186000"/>
    <x v="173"/>
    <x v="41"/>
    <x v="0"/>
    <n v="6000"/>
    <x v="2"/>
    <s v="added"/>
    <m/>
  </r>
  <r>
    <n v="990"/>
    <s v="Charles Koch Institute_State Policy Network20168000"/>
    <x v="174"/>
    <x v="41"/>
    <x v="0"/>
    <n v="8000"/>
    <x v="4"/>
    <s v="added"/>
    <m/>
  </r>
  <r>
    <n v="990"/>
    <s v="Charles Koch Institute_State Policy Network20155200"/>
    <x v="175"/>
    <x v="41"/>
    <x v="0"/>
    <n v="5200"/>
    <x v="5"/>
    <s v="added"/>
    <m/>
  </r>
  <r>
    <n v="990"/>
    <s v="Chase Foundation of Virginia_State Policy Network20215000"/>
    <x v="176"/>
    <x v="42"/>
    <x v="0"/>
    <n v="5000"/>
    <x v="18"/>
    <s v="added"/>
    <m/>
  </r>
  <r>
    <n v="990"/>
    <s v="Chase Foundation of Virginia_State Policy Network202012000"/>
    <x v="177"/>
    <x v="42"/>
    <x v="0"/>
    <n v="12000"/>
    <x v="19"/>
    <s v="added"/>
    <m/>
  </r>
  <r>
    <n v="990"/>
    <s v="Chase Foundation of Virginia_State Policy Network201912000"/>
    <x v="178"/>
    <x v="42"/>
    <x v="0"/>
    <n v="12000"/>
    <x v="1"/>
    <s v="added"/>
    <m/>
  </r>
  <r>
    <n v="990"/>
    <s v="Chase Foundation of Virginia_State Policy Network201812000"/>
    <x v="179"/>
    <x v="42"/>
    <x v="0"/>
    <n v="12000"/>
    <x v="2"/>
    <s v="added"/>
    <m/>
  </r>
  <r>
    <n v="990"/>
    <s v="Chase Foundation of Virginia_State Policy Network201712000"/>
    <x v="180"/>
    <x v="42"/>
    <x v="0"/>
    <n v="12000"/>
    <x v="3"/>
    <s v="added"/>
    <m/>
  </r>
  <r>
    <n v="990"/>
    <s v="Chase Foundation of Virginia_State Policy Network201612000"/>
    <x v="181"/>
    <x v="42"/>
    <x v="0"/>
    <n v="12000"/>
    <x v="4"/>
    <s v="added"/>
    <m/>
  </r>
  <r>
    <n v="990"/>
    <s v="Chase Foundation of Virginia_State Policy Network201512000"/>
    <x v="182"/>
    <x v="42"/>
    <x v="0"/>
    <n v="12000"/>
    <x v="5"/>
    <s v="added"/>
    <m/>
  </r>
  <r>
    <n v="990"/>
    <s v="Chase Foundation of Virginia_State Policy Network201410000"/>
    <x v="183"/>
    <x v="42"/>
    <x v="0"/>
    <n v="10000"/>
    <x v="6"/>
    <s v="added"/>
    <m/>
  </r>
  <r>
    <n v="990"/>
    <s v="Chase Foundation of Virginia_State Policy Network201310000"/>
    <x v="184"/>
    <x v="42"/>
    <x v="0"/>
    <n v="10000"/>
    <x v="7"/>
    <s v="added"/>
    <m/>
  </r>
  <r>
    <s v="CT2017"/>
    <s v="Chase Foundation of Virginia_State Policy Network201210000"/>
    <x v="185"/>
    <x v="42"/>
    <x v="0"/>
    <n v="10000"/>
    <x v="8"/>
    <s v="verified"/>
    <m/>
  </r>
  <r>
    <s v="CT2016"/>
    <s v="Chase Foundation of Virginia_State Policy Network201110000"/>
    <x v="186"/>
    <x v="42"/>
    <x v="0"/>
    <n v="10000"/>
    <x v="9"/>
    <s v="verified"/>
    <m/>
  </r>
  <r>
    <s v="CT2016"/>
    <s v="Chase Foundation of Virginia_State Policy Network201010000"/>
    <x v="187"/>
    <x v="42"/>
    <x v="0"/>
    <n v="10000"/>
    <x v="10"/>
    <s v="verified"/>
    <m/>
  </r>
  <r>
    <s v="CT2016"/>
    <s v="Chase Foundation of Virginia_State Policy Network200910000"/>
    <x v="188"/>
    <x v="42"/>
    <x v="0"/>
    <n v="10000"/>
    <x v="11"/>
    <s v="verified"/>
    <m/>
  </r>
  <r>
    <s v="CT2016"/>
    <s v="Chase Foundation of Virginia_State Policy Network200615000"/>
    <x v="189"/>
    <x v="42"/>
    <x v="0"/>
    <n v="15000"/>
    <x v="14"/>
    <s v="verified"/>
    <m/>
  </r>
  <r>
    <s v="CT2016"/>
    <s v="Chase Foundation of Virginia_State Policy Network200515000"/>
    <x v="190"/>
    <x v="42"/>
    <x v="0"/>
    <n v="15000"/>
    <x v="15"/>
    <s v="verified"/>
    <m/>
  </r>
  <r>
    <s v="CT2016"/>
    <s v="Chase Foundation of Virginia_State Policy Network200415860"/>
    <x v="191"/>
    <x v="42"/>
    <x v="0"/>
    <n v="15860"/>
    <x v="16"/>
    <s v="verified"/>
    <m/>
  </r>
  <r>
    <s v="CT2016"/>
    <s v="Chase Foundation of Virginia_State Policy Network200315000"/>
    <x v="192"/>
    <x v="42"/>
    <x v="0"/>
    <n v="15000"/>
    <x v="17"/>
    <s v="verified"/>
    <m/>
  </r>
  <r>
    <s v="CT2017"/>
    <s v="Chase Foundation of Virginia_State Policy Network200215000"/>
    <x v="193"/>
    <x v="42"/>
    <x v="0"/>
    <n v="15000"/>
    <x v="22"/>
    <s v="verified"/>
    <m/>
  </r>
  <r>
    <s v="CT2017"/>
    <s v="Chase Foundation of Virginia_State Policy Network200115000"/>
    <x v="194"/>
    <x v="42"/>
    <x v="0"/>
    <n v="15000"/>
    <x v="20"/>
    <s v="verified"/>
    <m/>
  </r>
  <r>
    <n v="990"/>
    <s v="Chiaroscuro Foundation_State Policy Network201310000"/>
    <x v="195"/>
    <x v="43"/>
    <x v="0"/>
    <n v="10000"/>
    <x v="7"/>
    <s v="added"/>
    <m/>
  </r>
  <r>
    <n v="990"/>
    <s v="Chiavacci Family Foundation_State Policy Network20211000"/>
    <x v="196"/>
    <x v="44"/>
    <x v="0"/>
    <n v="1000"/>
    <x v="18"/>
    <s v="added"/>
    <m/>
  </r>
  <r>
    <s v="CT2017"/>
    <s v="Claude R Lambe Charitable Foundation_State Policy Network201110000"/>
    <x v="197"/>
    <x v="45"/>
    <x v="0"/>
    <n v="10000"/>
    <x v="9"/>
    <s v="verified"/>
    <m/>
  </r>
  <r>
    <s v="CT2016"/>
    <s v="Claude R Lambe Charitable Foundation_State Policy Network200615000"/>
    <x v="198"/>
    <x v="45"/>
    <x v="0"/>
    <n v="15000"/>
    <x v="14"/>
    <s v="verified"/>
    <m/>
  </r>
  <r>
    <s v="CT2016"/>
    <s v="Claude R Lambe Charitable Foundation_State Policy Network200515000"/>
    <x v="199"/>
    <x v="45"/>
    <x v="0"/>
    <n v="15000"/>
    <x v="15"/>
    <s v="verified"/>
    <m/>
  </r>
  <r>
    <s v="CT2016"/>
    <s v="Claude R Lambe Charitable Foundation_State Policy Network20042500"/>
    <x v="200"/>
    <x v="45"/>
    <x v="0"/>
    <n v="2500"/>
    <x v="16"/>
    <s v="verified"/>
    <m/>
  </r>
  <r>
    <s v="CT2017"/>
    <s v="Claude R Lambe Charitable Foundation_State Policy Network20026500"/>
    <x v="201"/>
    <x v="45"/>
    <x v="0"/>
    <n v="6500"/>
    <x v="22"/>
    <s v="verified"/>
    <m/>
  </r>
  <r>
    <n v="990"/>
    <s v="Coalition for The New Economy_State Policy Network201515000"/>
    <x v="202"/>
    <x v="46"/>
    <x v="0"/>
    <n v="15000"/>
    <x v="5"/>
    <s v="added"/>
    <m/>
  </r>
  <r>
    <s v="https://projects.propublica.org/nonprofits/organizations/222281783/202203139349302135/IRS990ScheduleI"/>
    <s v="Community Foundation of New Jersey_State Policy Network202125000"/>
    <x v="203"/>
    <x v="47"/>
    <x v="0"/>
    <n v="25000"/>
    <x v="18"/>
    <s v="added"/>
    <m/>
  </r>
  <r>
    <s v="https://projects.propublica.org/nonprofits/organizations/222281783/202142999349301249/IRS990ScheduleI"/>
    <s v="Community Foundation of New Jersey_State Policy Network202025000"/>
    <x v="204"/>
    <x v="47"/>
    <x v="0"/>
    <n v="25000"/>
    <x v="19"/>
    <s v="added"/>
    <m/>
  </r>
  <r>
    <s v="https://projects.propublica.org/nonprofits/organizations/386095283/202233159349305993/IRS990ScheduleI"/>
    <s v="Community Foundation of the Holland Zeeland Area_State Policy Network202115500"/>
    <x v="205"/>
    <x v="48"/>
    <x v="0"/>
    <n v="15500"/>
    <x v="18"/>
    <s v="added"/>
    <m/>
  </r>
  <r>
    <s v="https://projects.propublica.org/nonprofits/organizations/50438672/202241309349102544/IRS990PF"/>
    <s v="Constructive Management Foundation_State Policy Network20211000"/>
    <x v="206"/>
    <x v="49"/>
    <x v="0"/>
    <n v="1000"/>
    <x v="18"/>
    <s v="added"/>
    <m/>
  </r>
  <r>
    <s v="https://projects.propublica.org/nonprofits/organizations/50438672/202101319349102205/IRS990PF"/>
    <s v="Constructive Management Foundation_State Policy Network20204000"/>
    <x v="207"/>
    <x v="49"/>
    <x v="0"/>
    <n v="4000"/>
    <x v="19"/>
    <s v="added"/>
    <m/>
  </r>
  <r>
    <s v="https://projects.propublica.org/nonprofits/organizations/50438672/201931969349100513/IRS990PF"/>
    <s v="Constructive Management Foundation_State Policy Network20185000"/>
    <x v="208"/>
    <x v="49"/>
    <x v="0"/>
    <n v="5000"/>
    <x v="2"/>
    <s v="added"/>
    <m/>
  </r>
  <r>
    <s v="https://projects.propublica.org/nonprofits/organizations/50438672/201831319349101528/IRS990PF"/>
    <s v="Constructive Management Foundation_State Policy Network20171000"/>
    <x v="209"/>
    <x v="49"/>
    <x v="0"/>
    <n v="1000"/>
    <x v="3"/>
    <s v="added"/>
    <m/>
  </r>
  <r>
    <s v="https://projects.propublica.org/nonprofits/organizations/50438672/201701419349100200/IRS990PF"/>
    <s v="Constructive Management Foundation_State Policy Network20161000"/>
    <x v="210"/>
    <x v="49"/>
    <x v="0"/>
    <n v="1000"/>
    <x v="4"/>
    <s v="added"/>
    <m/>
  </r>
  <r>
    <s v="https://projects.propublica.org/nonprofits/display_990/50438672/2005_06_PF%2F05-0438672_990PF_200412"/>
    <s v="Constructive Management Foundation_State Policy Network2004500"/>
    <x v="211"/>
    <x v="49"/>
    <x v="0"/>
    <n v="500"/>
    <x v="16"/>
    <s v="added"/>
    <m/>
  </r>
  <r>
    <s v="https://projects.propublica.org/nonprofits/display_990/50438672/2003_06_PF%2F05-0438672_990PF_200212"/>
    <s v="Constructive Management Foundation_State Policy Network2002500"/>
    <x v="212"/>
    <x v="49"/>
    <x v="0"/>
    <n v="500"/>
    <x v="22"/>
    <s v="added"/>
    <m/>
  </r>
  <r>
    <s v="https://projects.propublica.org/nonprofits/display_990/50438672/2002_07_PF%2F05-0438672_990PF_200112"/>
    <s v="Constructive Management Foundation_State Policy Network20011000"/>
    <x v="213"/>
    <x v="49"/>
    <x v="0"/>
    <n v="1000"/>
    <x v="20"/>
    <s v="added"/>
    <m/>
  </r>
  <r>
    <s v="https://projects.propublica.org/nonprofits/organizations/270858822/201920879349100327/IRS990PF"/>
    <s v="Crawford Family Foundation_State Policy Network2018750"/>
    <x v="214"/>
    <x v="50"/>
    <x v="0"/>
    <n v="750"/>
    <x v="2"/>
    <s v="added"/>
    <m/>
  </r>
  <r>
    <s v="https://projects.propublica.org/nonprofits/organizations/270858822/201831989349100323/IRS990PF"/>
    <s v="Crawford Family Foundation_State Policy Network2017500"/>
    <x v="215"/>
    <x v="50"/>
    <x v="0"/>
    <n v="500"/>
    <x v="3"/>
    <s v="added"/>
    <m/>
  </r>
  <r>
    <s v="https://projects.propublica.org/nonprofits/organizations/270858822/201721329349101402/IRS990PF"/>
    <s v="Crawford Family Foundation_State Policy Network2016500"/>
    <x v="216"/>
    <x v="50"/>
    <x v="0"/>
    <n v="500"/>
    <x v="4"/>
    <s v="added"/>
    <m/>
  </r>
  <r>
    <s v="https://projects.propublica.org/nonprofits/organizations/270858822/201620919349100822/IRS990PF"/>
    <s v="Crawford Family Foundation_State Policy Network20151000"/>
    <x v="217"/>
    <x v="50"/>
    <x v="0"/>
    <n v="1000"/>
    <x v="5"/>
    <s v="added"/>
    <m/>
  </r>
  <r>
    <s v="https://projects.propublica.org/nonprofits/organizations/270858822/201511329349102846/IRS990PF"/>
    <s v="Crawford Family Foundation_State Policy Network2014500"/>
    <x v="218"/>
    <x v="50"/>
    <x v="0"/>
    <n v="500"/>
    <x v="6"/>
    <s v="added"/>
    <m/>
  </r>
  <r>
    <s v="https://projects.propublica.org/nonprofits/organizations/270858822/201421359349102177/IRS990PF"/>
    <s v="Crawford Family Foundation_State Policy Network20131000"/>
    <x v="219"/>
    <x v="50"/>
    <x v="0"/>
    <n v="1000"/>
    <x v="7"/>
    <s v="added"/>
    <m/>
  </r>
  <r>
    <s v="https://projects.propublica.org/nonprofits/redirect_to_990/270858822/2012"/>
    <s v="Crawford Family Foundation_State Policy Network20121000"/>
    <x v="220"/>
    <x v="50"/>
    <x v="0"/>
    <n v="1000"/>
    <x v="8"/>
    <s v="added"/>
    <m/>
  </r>
  <r>
    <s v="https://projects.propublica.org/nonprofits/organizations/352062881/202243199349101009/IRS990PF"/>
    <s v="Culpepper Family Foundation_State Policy Network2021250"/>
    <x v="221"/>
    <x v="51"/>
    <x v="0"/>
    <n v="250"/>
    <x v="18"/>
    <s v="added"/>
    <m/>
  </r>
  <r>
    <s v="https://projects.propublica.org/nonprofits/organizations/341866961/202341459349100409/IRS990PF"/>
    <s v="D M Schneider Foundation_State Policy Network2022500"/>
    <x v="222"/>
    <x v="52"/>
    <x v="0"/>
    <n v="500"/>
    <x v="0"/>
    <s v="added"/>
    <m/>
  </r>
  <r>
    <s v="https://projects.propublica.org/nonprofits/organizations/341866961/202201339349100930/IRS990PF"/>
    <s v="D M Schneider Foundation_State Policy Network20211000"/>
    <x v="223"/>
    <x v="52"/>
    <x v="0"/>
    <n v="1000"/>
    <x v="18"/>
    <s v="added"/>
    <m/>
  </r>
  <r>
    <s v="https://projects.propublica.org/nonprofits/organizations/341866961/202121359349100042/IRS990PF"/>
    <s v="D M Schneider Foundation_State Policy Network2020500"/>
    <x v="224"/>
    <x v="52"/>
    <x v="0"/>
    <n v="500"/>
    <x v="19"/>
    <s v="added"/>
    <m/>
  </r>
  <r>
    <s v="https://projects.propublica.org/nonprofits/organizations/200801237/201911349349104196/IRS990PF"/>
    <s v="David R and Rachel R Eidelman Family Foundation_State Policy Network20181000"/>
    <x v="225"/>
    <x v="53"/>
    <x v="0"/>
    <n v="1000"/>
    <x v="2"/>
    <s v="added"/>
    <m/>
  </r>
  <r>
    <s v="CT2017"/>
    <s v="Deramus Foundation_State Policy Network20116000"/>
    <x v="226"/>
    <x v="54"/>
    <x v="0"/>
    <n v="6000"/>
    <x v="9"/>
    <s v="verified"/>
    <m/>
  </r>
  <r>
    <s v="https://projects.propublica.org/nonprofits/organizations/137267343/202311639349100706/IRS990PF"/>
    <s v="Dettmer Family Foundation_State Policy Network20222000"/>
    <x v="227"/>
    <x v="55"/>
    <x v="0"/>
    <n v="2000"/>
    <x v="0"/>
    <s v="added"/>
    <m/>
  </r>
  <r>
    <s v="https://projects.propublica.org/nonprofits/organizations/137267343/202231319349100708/IRS990PF"/>
    <s v="Dettmer Family Foundation_State Policy Network20212000"/>
    <x v="228"/>
    <x v="55"/>
    <x v="0"/>
    <n v="2000"/>
    <x v="18"/>
    <s v="added"/>
    <m/>
  </r>
  <r>
    <s v="https://projects.propublica.org/nonprofits/organizations/137267343/202141259349103614/IRS990PF"/>
    <s v="Dettmer Family Foundation_State Policy Network20202000"/>
    <x v="229"/>
    <x v="55"/>
    <x v="0"/>
    <n v="2000"/>
    <x v="19"/>
    <s v="added"/>
    <m/>
  </r>
  <r>
    <s v="https://projects.propublica.org/nonprofits/display_990/137267343/02_2021_prefixes_13-20%2F137267343_201912_990PF_2021021217705392"/>
    <s v="Dettmer Family Foundation_State Policy Network20192500"/>
    <x v="230"/>
    <x v="55"/>
    <x v="0"/>
    <n v="2500"/>
    <x v="1"/>
    <s v="added"/>
    <m/>
  </r>
  <r>
    <s v="https://projects.propublica.org/nonprofits/display_990/137267343/06_2019_prefixes_06-16%2F137267343_201812_990PF_2019061016397931"/>
    <s v="Dettmer Family Foundation_State Policy Network20185000"/>
    <x v="231"/>
    <x v="55"/>
    <x v="0"/>
    <n v="5000"/>
    <x v="2"/>
    <s v="added"/>
    <m/>
  </r>
  <r>
    <s v="https://projects.propublica.org/nonprofits/display_990/137267343/2017_05_PF%2F13-7267343_990PF_201612"/>
    <s v="Dettmer Family Foundation_State Policy Network20165000"/>
    <x v="232"/>
    <x v="55"/>
    <x v="0"/>
    <n v="5000"/>
    <x v="4"/>
    <s v="added"/>
    <m/>
  </r>
  <r>
    <s v="https://projects.propublica.org/nonprofits/display_990/137267343/2016_05_PF%2F13-7267343_990PF_201512"/>
    <s v="Dettmer Family Foundation_State Policy Network20155000"/>
    <x v="233"/>
    <x v="55"/>
    <x v="0"/>
    <n v="5000"/>
    <x v="5"/>
    <s v="added"/>
    <m/>
  </r>
  <r>
    <s v="https://projects.propublica.org/nonprofits/display_990/137267343/2015_05_PF%2F13-7267343_990PF_201412"/>
    <s v="Dettmer Family Foundation_State Policy Network20141000"/>
    <x v="234"/>
    <x v="55"/>
    <x v="0"/>
    <n v="1000"/>
    <x v="6"/>
    <s v="added"/>
    <m/>
  </r>
  <r>
    <n v="990"/>
    <s v="Diana Davis Spencer Foundation_State Policy Network2020100000"/>
    <x v="235"/>
    <x v="56"/>
    <x v="0"/>
    <n v="100000"/>
    <x v="19"/>
    <s v="added"/>
    <m/>
  </r>
  <r>
    <n v="990"/>
    <s v="Diana Davis Spencer Foundation_State Policy Network2019100000"/>
    <x v="236"/>
    <x v="56"/>
    <x v="0"/>
    <n v="100000"/>
    <x v="1"/>
    <s v="added"/>
    <m/>
  </r>
  <r>
    <n v="990"/>
    <s v="Diana Davis Spencer Foundation_State Policy Network2018150000"/>
    <x v="237"/>
    <x v="56"/>
    <x v="0"/>
    <n v="150000"/>
    <x v="2"/>
    <s v="added"/>
    <m/>
  </r>
  <r>
    <n v="990"/>
    <s v="Diana Davis Spencer Foundation_State Policy Network2017150000"/>
    <x v="238"/>
    <x v="56"/>
    <x v="0"/>
    <n v="150000"/>
    <x v="3"/>
    <s v="added"/>
    <m/>
  </r>
  <r>
    <n v="990"/>
    <s v="Diana Davis Spencer Foundation_State Policy Network2015100000"/>
    <x v="239"/>
    <x v="56"/>
    <x v="0"/>
    <n v="100000"/>
    <x v="5"/>
    <s v="added"/>
    <m/>
  </r>
  <r>
    <n v="990"/>
    <s v="Diana Davis Spencer Foundation_State Policy Network20148000"/>
    <x v="240"/>
    <x v="56"/>
    <x v="0"/>
    <n v="8000"/>
    <x v="6"/>
    <s v="added"/>
    <m/>
  </r>
  <r>
    <n v="990"/>
    <s v="Diana Davis Spencer Foundation_State Policy Network20135000"/>
    <x v="241"/>
    <x v="56"/>
    <x v="0"/>
    <n v="5000"/>
    <x v="7"/>
    <s v="added"/>
    <m/>
  </r>
  <r>
    <s v="CT2017"/>
    <s v="Diana Davis Spencer Foundation_State Policy Network20115000"/>
    <x v="242"/>
    <x v="56"/>
    <x v="0"/>
    <n v="5000"/>
    <x v="9"/>
    <s v="verified"/>
    <m/>
  </r>
  <r>
    <s v="CT2017"/>
    <s v="Diana Davis Spencer Foundation_State Policy Network20102000"/>
    <x v="243"/>
    <x v="56"/>
    <x v="0"/>
    <n v="2000"/>
    <x v="10"/>
    <s v="verified"/>
    <m/>
  </r>
  <r>
    <n v="990"/>
    <s v="Dodge Jones Foundation_State Policy Network20175000"/>
    <x v="244"/>
    <x v="57"/>
    <x v="0"/>
    <n v="5000"/>
    <x v="3"/>
    <s v="added"/>
    <m/>
  </r>
  <r>
    <n v="990"/>
    <s v="Dodge Jones Foundation_State Policy Network20151500"/>
    <x v="245"/>
    <x v="57"/>
    <x v="0"/>
    <n v="1500"/>
    <x v="5"/>
    <s v="added"/>
    <m/>
  </r>
  <r>
    <n v="990"/>
    <s v="Dodge Jones Foundation_State Policy Network20141000"/>
    <x v="246"/>
    <x v="57"/>
    <x v="0"/>
    <n v="1000"/>
    <x v="6"/>
    <s v="added"/>
    <m/>
  </r>
  <r>
    <n v="990"/>
    <s v="Dodge Jones Foundation_State Policy Network20131000"/>
    <x v="247"/>
    <x v="57"/>
    <x v="0"/>
    <n v="1000"/>
    <x v="7"/>
    <s v="added"/>
    <m/>
  </r>
  <r>
    <n v="990"/>
    <s v="Dodge Jones Foundation_State Policy Network20121000"/>
    <x v="248"/>
    <x v="57"/>
    <x v="0"/>
    <n v="1000"/>
    <x v="8"/>
    <s v="added"/>
    <m/>
  </r>
  <r>
    <n v="990"/>
    <s v="Dodge Jones Foundation_State Policy Network20112500"/>
    <x v="249"/>
    <x v="57"/>
    <x v="0"/>
    <n v="2500"/>
    <x v="9"/>
    <s v="added"/>
    <m/>
  </r>
  <r>
    <n v="990"/>
    <s v="Dodge Jones Foundation_State Policy Network20101000"/>
    <x v="250"/>
    <x v="57"/>
    <x v="0"/>
    <n v="1000"/>
    <x v="10"/>
    <s v="added"/>
    <m/>
  </r>
  <r>
    <n v="990"/>
    <s v="Dodge Jones Foundation_State Policy Network20091000"/>
    <x v="251"/>
    <x v="57"/>
    <x v="0"/>
    <n v="1000"/>
    <x v="11"/>
    <s v="added"/>
    <m/>
  </r>
  <r>
    <s v="https://projects.propublica.org/nonprofits/organizations/391686976/202331009349100533/IRS990PF"/>
    <s v="Donald L &amp; Valerie D Gottschalk Foundation_State Policy Network2022100"/>
    <x v="252"/>
    <x v="58"/>
    <x v="0"/>
    <n v="100"/>
    <x v="0"/>
    <s v="added"/>
    <m/>
  </r>
  <r>
    <s v="https://projects.propublica.org/nonprofits/organizations/391686976/202200959349100105/IRS990PF"/>
    <s v="Donald L &amp; Valerie D Gottschalk Foundation_State Policy Network2021100"/>
    <x v="253"/>
    <x v="58"/>
    <x v="0"/>
    <n v="100"/>
    <x v="18"/>
    <s v="added"/>
    <m/>
  </r>
  <r>
    <s v="https://projects.propublica.org/nonprofits/organizations/391686976/202130969349100318/IRS990PF"/>
    <s v="Donald L &amp; Valerie D Gottschalk Foundation_State Policy Network2020100"/>
    <x v="254"/>
    <x v="58"/>
    <x v="0"/>
    <n v="100"/>
    <x v="19"/>
    <s v="added"/>
    <m/>
  </r>
  <r>
    <s v="https://projects.propublica.org/nonprofits/display_990/391686976/10_2020_prefixes_38-41%2F391686976_201912_990PR_2020102017391290"/>
    <s v="Donald L &amp; Valerie D Gottschalk Foundation_State Policy Network2019100"/>
    <x v="255"/>
    <x v="58"/>
    <x v="0"/>
    <n v="100"/>
    <x v="1"/>
    <s v="added"/>
    <m/>
  </r>
  <r>
    <s v="https://projects.propublica.org/nonprofits/display_990/391686976/06_2019_prefixes_39-45%2F391686976_201812_990PF_2019062016430903"/>
    <s v="Donald L &amp; Valerie D Gottschalk Foundation_State Policy Network2018200"/>
    <x v="256"/>
    <x v="58"/>
    <x v="0"/>
    <n v="200"/>
    <x v="2"/>
    <s v="added"/>
    <m/>
  </r>
  <r>
    <n v="990"/>
    <s v="Donors Capital Fund_State Policy Network202050000"/>
    <x v="257"/>
    <x v="59"/>
    <x v="0"/>
    <n v="50000"/>
    <x v="19"/>
    <s v="added"/>
    <m/>
  </r>
  <r>
    <n v="990"/>
    <s v="Donors Capital Fund_State Policy Network201740000"/>
    <x v="258"/>
    <x v="59"/>
    <x v="0"/>
    <n v="40000"/>
    <x v="3"/>
    <s v="added"/>
    <m/>
  </r>
  <r>
    <n v="990"/>
    <s v="Donors Capital Fund_State Policy Network2016104500"/>
    <x v="259"/>
    <x v="59"/>
    <x v="0"/>
    <n v="104500"/>
    <x v="4"/>
    <s v="added"/>
    <m/>
  </r>
  <r>
    <n v="990"/>
    <s v="Donors Capital Fund_State Policy Network2016153300"/>
    <x v="259"/>
    <x v="59"/>
    <x v="0"/>
    <n v="153300"/>
    <x v="4"/>
    <s v="added"/>
    <m/>
  </r>
  <r>
    <n v="990"/>
    <s v="Donors Capital Fund_State Policy Network2016165400"/>
    <x v="259"/>
    <x v="59"/>
    <x v="0"/>
    <n v="165400"/>
    <x v="4"/>
    <s v="added"/>
    <m/>
  </r>
  <r>
    <n v="990"/>
    <s v="Donors Capital Fund_State Policy Network2016170000"/>
    <x v="259"/>
    <x v="59"/>
    <x v="0"/>
    <n v="170000"/>
    <x v="4"/>
    <s v="added"/>
    <m/>
  </r>
  <r>
    <n v="990"/>
    <s v="Donors Capital Fund_State Policy Network20161744000"/>
    <x v="259"/>
    <x v="59"/>
    <x v="0"/>
    <n v="1744000"/>
    <x v="4"/>
    <s v="added"/>
    <m/>
  </r>
  <r>
    <n v="990"/>
    <s v="Donors Capital Fund_State Policy Network2016180000"/>
    <x v="259"/>
    <x v="59"/>
    <x v="0"/>
    <n v="180000"/>
    <x v="4"/>
    <s v="added"/>
    <m/>
  </r>
  <r>
    <n v="990"/>
    <s v="Donors Capital Fund_State Policy Network2016205000"/>
    <x v="259"/>
    <x v="59"/>
    <x v="0"/>
    <n v="205000"/>
    <x v="4"/>
    <s v="added"/>
    <m/>
  </r>
  <r>
    <n v="990"/>
    <s v="Donors Capital Fund_State Policy Network201621500"/>
    <x v="259"/>
    <x v="59"/>
    <x v="0"/>
    <n v="21500"/>
    <x v="4"/>
    <s v="added"/>
    <m/>
  </r>
  <r>
    <n v="990"/>
    <s v="Donors Capital Fund_State Policy Network2016304700"/>
    <x v="259"/>
    <x v="59"/>
    <x v="0"/>
    <n v="304700"/>
    <x v="4"/>
    <s v="added"/>
    <m/>
  </r>
  <r>
    <n v="990"/>
    <s v="Donors Capital Fund_State Policy Network2016326000"/>
    <x v="259"/>
    <x v="59"/>
    <x v="0"/>
    <n v="326000"/>
    <x v="4"/>
    <s v="added"/>
    <m/>
  </r>
  <r>
    <n v="990"/>
    <s v="Donors Capital Fund_State Policy Network2016390200"/>
    <x v="259"/>
    <x v="59"/>
    <x v="0"/>
    <n v="390200"/>
    <x v="4"/>
    <s v="added"/>
    <m/>
  </r>
  <r>
    <n v="990"/>
    <s v="Donors Capital Fund_State Policy Network201640000"/>
    <x v="259"/>
    <x v="59"/>
    <x v="0"/>
    <n v="40000"/>
    <x v="4"/>
    <s v="added"/>
    <m/>
  </r>
  <r>
    <n v="990"/>
    <s v="Donors Capital Fund_State Policy Network201645000"/>
    <x v="259"/>
    <x v="59"/>
    <x v="0"/>
    <n v="45000"/>
    <x v="4"/>
    <s v="added"/>
    <m/>
  </r>
  <r>
    <n v="990"/>
    <s v="Donors Capital Fund_State Policy Network2016552000"/>
    <x v="259"/>
    <x v="59"/>
    <x v="0"/>
    <n v="552000"/>
    <x v="4"/>
    <s v="added"/>
    <m/>
  </r>
  <r>
    <n v="990"/>
    <s v="Donors Capital Fund_State Policy Network2016717500"/>
    <x v="259"/>
    <x v="59"/>
    <x v="0"/>
    <n v="717500"/>
    <x v="4"/>
    <s v="added"/>
    <m/>
  </r>
  <r>
    <n v="990"/>
    <s v="Donors Capital Fund_State Policy Network20167200"/>
    <x v="259"/>
    <x v="59"/>
    <x v="0"/>
    <n v="7200"/>
    <x v="4"/>
    <s v="added"/>
    <m/>
  </r>
  <r>
    <n v="990"/>
    <s v="Donors Capital Fund_State Policy Network201675000"/>
    <x v="259"/>
    <x v="59"/>
    <x v="0"/>
    <n v="75000"/>
    <x v="4"/>
    <s v="added"/>
    <m/>
  </r>
  <r>
    <n v="990"/>
    <s v="Donors Capital Fund_State Policy Network20151000000"/>
    <x v="260"/>
    <x v="59"/>
    <x v="0"/>
    <n v="1000000"/>
    <x v="5"/>
    <s v="added"/>
    <m/>
  </r>
  <r>
    <n v="990"/>
    <s v="Donors Capital Fund_State Policy Network2015112000"/>
    <x v="260"/>
    <x v="59"/>
    <x v="0"/>
    <n v="112000"/>
    <x v="5"/>
    <s v="added"/>
    <m/>
  </r>
  <r>
    <n v="990"/>
    <s v="Donors Capital Fund_State Policy Network2015113400"/>
    <x v="260"/>
    <x v="59"/>
    <x v="0"/>
    <n v="113400"/>
    <x v="5"/>
    <s v="added"/>
    <m/>
  </r>
  <r>
    <n v="990"/>
    <s v="Donors Capital Fund_State Policy Network201512860"/>
    <x v="260"/>
    <x v="59"/>
    <x v="0"/>
    <n v="12860"/>
    <x v="5"/>
    <s v="added"/>
    <m/>
  </r>
  <r>
    <n v="990"/>
    <s v="Donors Capital Fund_State Policy Network2015184500"/>
    <x v="260"/>
    <x v="59"/>
    <x v="0"/>
    <n v="184500"/>
    <x v="5"/>
    <s v="added"/>
    <m/>
  </r>
  <r>
    <n v="990"/>
    <s v="Donors Capital Fund_State Policy Network201520000"/>
    <x v="260"/>
    <x v="59"/>
    <x v="0"/>
    <n v="20000"/>
    <x v="5"/>
    <s v="added"/>
    <m/>
  </r>
  <r>
    <n v="990"/>
    <s v="Donors Capital Fund_State Policy Network201520000"/>
    <x v="260"/>
    <x v="59"/>
    <x v="0"/>
    <n v="20000"/>
    <x v="5"/>
    <s v="added"/>
    <m/>
  </r>
  <r>
    <n v="990"/>
    <s v="Donors Capital Fund_State Policy Network2015202400"/>
    <x v="260"/>
    <x v="59"/>
    <x v="0"/>
    <n v="202400"/>
    <x v="5"/>
    <s v="added"/>
    <m/>
  </r>
  <r>
    <n v="990"/>
    <s v="Donors Capital Fund_State Policy Network2015215000"/>
    <x v="260"/>
    <x v="59"/>
    <x v="0"/>
    <n v="215000"/>
    <x v="5"/>
    <s v="added"/>
    <m/>
  </r>
  <r>
    <n v="990"/>
    <s v="Donors Capital Fund_State Policy Network2015256000"/>
    <x v="260"/>
    <x v="59"/>
    <x v="0"/>
    <n v="256000"/>
    <x v="5"/>
    <s v="added"/>
    <m/>
  </r>
  <r>
    <n v="990"/>
    <s v="Donors Capital Fund_State Policy Network2015276000"/>
    <x v="260"/>
    <x v="59"/>
    <x v="0"/>
    <n v="276000"/>
    <x v="5"/>
    <s v="added"/>
    <m/>
  </r>
  <r>
    <n v="990"/>
    <s v="Donors Capital Fund_State Policy Network201540000"/>
    <x v="260"/>
    <x v="59"/>
    <x v="0"/>
    <n v="40000"/>
    <x v="5"/>
    <s v="added"/>
    <m/>
  </r>
  <r>
    <n v="990"/>
    <s v="Donors Capital Fund_State Policy Network201540000"/>
    <x v="260"/>
    <x v="59"/>
    <x v="0"/>
    <n v="40000"/>
    <x v="5"/>
    <s v="added"/>
    <m/>
  </r>
  <r>
    <n v="990"/>
    <s v="Donors Capital Fund_State Policy Network2015412500"/>
    <x v="260"/>
    <x v="59"/>
    <x v="0"/>
    <n v="412500"/>
    <x v="5"/>
    <s v="added"/>
    <m/>
  </r>
  <r>
    <n v="990"/>
    <s v="Donors Capital Fund_State Policy Network2015446400"/>
    <x v="260"/>
    <x v="59"/>
    <x v="0"/>
    <n v="446400"/>
    <x v="5"/>
    <s v="added"/>
    <m/>
  </r>
  <r>
    <n v="990"/>
    <s v="Donors Capital Fund_State Policy Network20155000"/>
    <x v="260"/>
    <x v="59"/>
    <x v="0"/>
    <n v="5000"/>
    <x v="5"/>
    <s v="added"/>
    <m/>
  </r>
  <r>
    <n v="990"/>
    <s v="Donors Capital Fund_State Policy Network2015563300"/>
    <x v="260"/>
    <x v="59"/>
    <x v="0"/>
    <n v="563300"/>
    <x v="5"/>
    <s v="added"/>
    <m/>
  </r>
  <r>
    <n v="990"/>
    <s v="Donors Capital Fund_State Policy Network201562000"/>
    <x v="260"/>
    <x v="59"/>
    <x v="0"/>
    <n v="62000"/>
    <x v="5"/>
    <s v="added"/>
    <m/>
  </r>
  <r>
    <n v="990"/>
    <s v="Donors Capital Fund_State Policy Network20157500"/>
    <x v="260"/>
    <x v="59"/>
    <x v="0"/>
    <n v="7500"/>
    <x v="5"/>
    <s v="added"/>
    <m/>
  </r>
  <r>
    <n v="990"/>
    <s v="Donors Capital Fund_State Policy Network20158000"/>
    <x v="260"/>
    <x v="59"/>
    <x v="0"/>
    <n v="8000"/>
    <x v="5"/>
    <s v="added"/>
    <m/>
  </r>
  <r>
    <s v="CT2017"/>
    <s v="Donors Capital Fund_State Policy Network201410000"/>
    <x v="261"/>
    <x v="59"/>
    <x v="0"/>
    <n v="10000"/>
    <x v="6"/>
    <s v="verified"/>
    <m/>
  </r>
  <r>
    <s v="CT2017"/>
    <s v="Donors Capital Fund_State Policy Network20141080000"/>
    <x v="261"/>
    <x v="59"/>
    <x v="0"/>
    <n v="1080000"/>
    <x v="6"/>
    <s v="verified"/>
    <m/>
  </r>
  <r>
    <s v="CT2017"/>
    <s v="Donors Capital Fund_State Policy Network2014132700"/>
    <x v="261"/>
    <x v="59"/>
    <x v="0"/>
    <n v="132700"/>
    <x v="6"/>
    <s v="verified"/>
    <m/>
  </r>
  <r>
    <s v="CT2017"/>
    <s v="Donors Capital Fund_State Policy Network2014150000"/>
    <x v="261"/>
    <x v="59"/>
    <x v="0"/>
    <n v="150000"/>
    <x v="6"/>
    <s v="verified"/>
    <m/>
  </r>
  <r>
    <s v="CT2017"/>
    <s v="Donors Capital Fund_State Policy Network2014200000"/>
    <x v="261"/>
    <x v="59"/>
    <x v="0"/>
    <n v="200000"/>
    <x v="6"/>
    <s v="verified"/>
    <m/>
  </r>
  <r>
    <s v="CT2017"/>
    <s v="Donors Capital Fund_State Policy Network201425000"/>
    <x v="261"/>
    <x v="59"/>
    <x v="0"/>
    <n v="25000"/>
    <x v="6"/>
    <s v="verified"/>
    <m/>
  </r>
  <r>
    <s v="CT2017"/>
    <s v="Donors Capital Fund_State Policy Network2014275200"/>
    <x v="261"/>
    <x v="59"/>
    <x v="0"/>
    <n v="275200"/>
    <x v="6"/>
    <s v="verified"/>
    <m/>
  </r>
  <r>
    <s v="CT2017"/>
    <s v="Donors Capital Fund_State Policy Network201430500"/>
    <x v="261"/>
    <x v="59"/>
    <x v="0"/>
    <n v="30500"/>
    <x v="6"/>
    <s v="verified"/>
    <m/>
  </r>
  <r>
    <s v="CT2017"/>
    <s v="Donors Capital Fund_State Policy Network2014375700"/>
    <x v="261"/>
    <x v="59"/>
    <x v="0"/>
    <n v="375700"/>
    <x v="6"/>
    <s v="verified"/>
    <m/>
  </r>
  <r>
    <s v="CT2017"/>
    <s v="Donors Capital Fund_State Policy Network20144000"/>
    <x v="261"/>
    <x v="59"/>
    <x v="0"/>
    <n v="4000"/>
    <x v="6"/>
    <s v="verified"/>
    <m/>
  </r>
  <r>
    <s v="CT2017"/>
    <s v="Donors Capital Fund_State Policy Network201440000"/>
    <x v="261"/>
    <x v="59"/>
    <x v="0"/>
    <n v="40000"/>
    <x v="6"/>
    <s v="verified"/>
    <m/>
  </r>
  <r>
    <s v="CT2017"/>
    <s v="Donors Capital Fund_State Policy Network201441000"/>
    <x v="261"/>
    <x v="59"/>
    <x v="0"/>
    <n v="41000"/>
    <x v="6"/>
    <s v="verified"/>
    <m/>
  </r>
  <r>
    <s v="CT2017"/>
    <s v="Donors Capital Fund_State Policy Network201446200"/>
    <x v="261"/>
    <x v="59"/>
    <x v="0"/>
    <n v="46200"/>
    <x v="6"/>
    <s v="verified"/>
    <m/>
  </r>
  <r>
    <s v="CT2017"/>
    <s v="Donors Capital Fund_State Policy Network2014539850"/>
    <x v="261"/>
    <x v="59"/>
    <x v="0"/>
    <n v="539850"/>
    <x v="6"/>
    <s v="verified"/>
    <m/>
  </r>
  <r>
    <s v="CT2017"/>
    <s v="Donors Capital Fund_State Policy Network201461750"/>
    <x v="261"/>
    <x v="59"/>
    <x v="0"/>
    <n v="61750"/>
    <x v="6"/>
    <s v="verified"/>
    <m/>
  </r>
  <r>
    <s v="CT2017"/>
    <s v="Donors Capital Fund_State Policy Network201476200"/>
    <x v="261"/>
    <x v="59"/>
    <x v="0"/>
    <n v="76200"/>
    <x v="6"/>
    <s v="verified"/>
    <m/>
  </r>
  <r>
    <s v="CT2017"/>
    <s v="Donors Capital Fund_State Policy Network201315000"/>
    <x v="262"/>
    <x v="59"/>
    <x v="0"/>
    <n v="15000"/>
    <x v="7"/>
    <s v="verified"/>
    <m/>
  </r>
  <r>
    <s v="CT2017"/>
    <s v="Donors Capital Fund_State Policy Network20131834500"/>
    <x v="262"/>
    <x v="59"/>
    <x v="0"/>
    <n v="1834500"/>
    <x v="7"/>
    <s v="verified"/>
    <m/>
  </r>
  <r>
    <s v="CT2017"/>
    <s v="Donors Capital Fund_State Policy Network2013203050"/>
    <x v="262"/>
    <x v="59"/>
    <x v="0"/>
    <n v="203050"/>
    <x v="7"/>
    <s v="verified"/>
    <m/>
  </r>
  <r>
    <s v="CT2017"/>
    <s v="Donors Capital Fund_State Policy Network201321500"/>
    <x v="262"/>
    <x v="59"/>
    <x v="0"/>
    <n v="21500"/>
    <x v="7"/>
    <s v="verified"/>
    <m/>
  </r>
  <r>
    <s v="CT2017"/>
    <s v="Donors Capital Fund_State Policy Network201327000"/>
    <x v="262"/>
    <x v="59"/>
    <x v="0"/>
    <n v="27000"/>
    <x v="7"/>
    <s v="verified"/>
    <m/>
  </r>
  <r>
    <s v="CT2017"/>
    <s v="Donors Capital Fund_State Policy Network201339000"/>
    <x v="262"/>
    <x v="59"/>
    <x v="0"/>
    <n v="39000"/>
    <x v="7"/>
    <s v="verified"/>
    <m/>
  </r>
  <r>
    <s v="CT2017"/>
    <s v="Donors Capital Fund_State Policy Network201340000"/>
    <x v="262"/>
    <x v="59"/>
    <x v="0"/>
    <n v="40000"/>
    <x v="7"/>
    <s v="verified"/>
    <m/>
  </r>
  <r>
    <s v="CT2017"/>
    <s v="Donors Capital Fund_State Policy Network201340000"/>
    <x v="262"/>
    <x v="59"/>
    <x v="0"/>
    <n v="40000"/>
    <x v="7"/>
    <s v="verified"/>
    <m/>
  </r>
  <r>
    <s v="CT2017"/>
    <s v="Donors Capital Fund_State Policy Network201362700"/>
    <x v="262"/>
    <x v="59"/>
    <x v="0"/>
    <n v="62700"/>
    <x v="7"/>
    <s v="verified"/>
    <m/>
  </r>
  <r>
    <s v="CT2017"/>
    <s v="Donors Capital Fund_State Policy Network201370260"/>
    <x v="262"/>
    <x v="59"/>
    <x v="0"/>
    <n v="70260"/>
    <x v="7"/>
    <s v="verified"/>
    <m/>
  </r>
  <r>
    <s v="CT2017"/>
    <s v="Donors Capital Fund_State Policy Network201375000"/>
    <x v="262"/>
    <x v="59"/>
    <x v="0"/>
    <n v="75000"/>
    <x v="7"/>
    <s v="verified"/>
    <m/>
  </r>
  <r>
    <s v="CT2017"/>
    <s v="Donors Capital Fund_State Policy Network20138000"/>
    <x v="262"/>
    <x v="59"/>
    <x v="0"/>
    <n v="8000"/>
    <x v="7"/>
    <s v="verified"/>
    <m/>
  </r>
  <r>
    <s v="CT2017"/>
    <s v="Donors Capital Fund_State Policy Network201380000"/>
    <x v="262"/>
    <x v="59"/>
    <x v="0"/>
    <n v="80000"/>
    <x v="7"/>
    <s v="verified"/>
    <m/>
  </r>
  <r>
    <s v="CT2017"/>
    <s v="Donors Capital Fund_State Policy Network201210000"/>
    <x v="263"/>
    <x v="59"/>
    <x v="0"/>
    <n v="10000"/>
    <x v="8"/>
    <s v="verified"/>
    <m/>
  </r>
  <r>
    <s v="CT2017"/>
    <s v="Donors Capital Fund_State Policy Network201210000"/>
    <x v="263"/>
    <x v="59"/>
    <x v="0"/>
    <n v="10000"/>
    <x v="8"/>
    <s v="verified"/>
    <m/>
  </r>
  <r>
    <s v="CT2017"/>
    <s v="Donors Capital Fund_State Policy Network2012111000"/>
    <x v="263"/>
    <x v="59"/>
    <x v="0"/>
    <n v="111000"/>
    <x v="8"/>
    <s v="verified"/>
    <m/>
  </r>
  <r>
    <s v="CT2017"/>
    <s v="Donors Capital Fund_State Policy Network201214175"/>
    <x v="263"/>
    <x v="59"/>
    <x v="0"/>
    <n v="14175"/>
    <x v="8"/>
    <s v="verified"/>
    <m/>
  </r>
  <r>
    <s v="CT2017"/>
    <s v="Donors Capital Fund_State Policy Network2012173000"/>
    <x v="263"/>
    <x v="59"/>
    <x v="0"/>
    <n v="173000"/>
    <x v="8"/>
    <s v="verified"/>
    <m/>
  </r>
  <r>
    <s v="CT2017"/>
    <s v="Donors Capital Fund_State Policy Network2012175000"/>
    <x v="263"/>
    <x v="59"/>
    <x v="0"/>
    <n v="175000"/>
    <x v="8"/>
    <s v="verified"/>
    <m/>
  </r>
  <r>
    <s v="CT2017"/>
    <s v="Donors Capital Fund_State Policy Network20121890000"/>
    <x v="263"/>
    <x v="59"/>
    <x v="0"/>
    <n v="1890000"/>
    <x v="8"/>
    <s v="verified"/>
    <m/>
  </r>
  <r>
    <s v="CT2017"/>
    <s v="Donors Capital Fund_State Policy Network2012281340"/>
    <x v="263"/>
    <x v="59"/>
    <x v="0"/>
    <n v="281340"/>
    <x v="8"/>
    <s v="verified"/>
    <m/>
  </r>
  <r>
    <s v="CT2017"/>
    <s v="Donors Capital Fund_State Policy Network201230000"/>
    <x v="263"/>
    <x v="59"/>
    <x v="0"/>
    <n v="30000"/>
    <x v="8"/>
    <s v="verified"/>
    <m/>
  </r>
  <r>
    <s v="CT2017"/>
    <s v="Donors Capital Fund_State Policy Network201234898"/>
    <x v="263"/>
    <x v="59"/>
    <x v="0"/>
    <n v="34898"/>
    <x v="8"/>
    <s v="verified"/>
    <m/>
  </r>
  <r>
    <s v="CT2017"/>
    <s v="Donors Capital Fund_State Policy Network201240000"/>
    <x v="263"/>
    <x v="59"/>
    <x v="0"/>
    <n v="40000"/>
    <x v="8"/>
    <s v="verified"/>
    <m/>
  </r>
  <r>
    <s v="CT2017"/>
    <s v="Donors Capital Fund_State Policy Network201240000"/>
    <x v="263"/>
    <x v="59"/>
    <x v="0"/>
    <n v="40000"/>
    <x v="8"/>
    <s v="verified"/>
    <m/>
  </r>
  <r>
    <s v="CT2017"/>
    <s v="Donors Capital Fund_State Policy Network201250000"/>
    <x v="263"/>
    <x v="59"/>
    <x v="0"/>
    <n v="50000"/>
    <x v="8"/>
    <s v="verified"/>
    <m/>
  </r>
  <r>
    <s v="CT2017"/>
    <s v="Donors Capital Fund_State Policy Network20126000"/>
    <x v="263"/>
    <x v="59"/>
    <x v="0"/>
    <n v="6000"/>
    <x v="8"/>
    <s v="verified"/>
    <m/>
  </r>
  <r>
    <s v="CT2017"/>
    <s v="Donors Capital Fund_State Policy Network201260000"/>
    <x v="263"/>
    <x v="59"/>
    <x v="0"/>
    <n v="60000"/>
    <x v="8"/>
    <s v="verified"/>
    <m/>
  </r>
  <r>
    <s v="CT2017"/>
    <s v="Donors Capital Fund_State Policy Network201110000"/>
    <x v="264"/>
    <x v="59"/>
    <x v="0"/>
    <n v="10000"/>
    <x v="9"/>
    <m/>
    <m/>
  </r>
  <r>
    <s v="CT2017"/>
    <s v="Donors Capital Fund_State Policy Network201110000"/>
    <x v="264"/>
    <x v="59"/>
    <x v="0"/>
    <n v="10000"/>
    <x v="9"/>
    <m/>
    <m/>
  </r>
  <r>
    <s v="CT2017"/>
    <s v="Donors Capital Fund_State Policy Network2011100000"/>
    <x v="264"/>
    <x v="59"/>
    <x v="0"/>
    <n v="100000"/>
    <x v="9"/>
    <m/>
    <m/>
  </r>
  <r>
    <s v="CT2017"/>
    <s v="Donors Capital Fund_State Policy Network201115000"/>
    <x v="264"/>
    <x v="59"/>
    <x v="0"/>
    <n v="15000"/>
    <x v="9"/>
    <m/>
    <m/>
  </r>
  <r>
    <s v="CT2017"/>
    <s v="Donors Capital Fund_State Policy Network2011150000"/>
    <x v="264"/>
    <x v="59"/>
    <x v="0"/>
    <n v="150000"/>
    <x v="9"/>
    <m/>
    <m/>
  </r>
  <r>
    <s v="CT2017"/>
    <s v="Donors Capital Fund_State Policy Network2011165000"/>
    <x v="264"/>
    <x v="59"/>
    <x v="0"/>
    <n v="165000"/>
    <x v="9"/>
    <m/>
    <m/>
  </r>
  <r>
    <s v="CT2017"/>
    <s v="Donors Capital Fund_State Policy Network201121000"/>
    <x v="264"/>
    <x v="59"/>
    <x v="0"/>
    <n v="21000"/>
    <x v="9"/>
    <m/>
    <m/>
  </r>
  <r>
    <s v="CT2017"/>
    <s v="Donors Capital Fund_State Policy Network201125000"/>
    <x v="264"/>
    <x v="59"/>
    <x v="0"/>
    <n v="25000"/>
    <x v="9"/>
    <m/>
    <m/>
  </r>
  <r>
    <s v="CT2017"/>
    <s v="Donors Capital Fund_State Policy Network201125000"/>
    <x v="264"/>
    <x v="59"/>
    <x v="0"/>
    <n v="25000"/>
    <x v="9"/>
    <m/>
    <m/>
  </r>
  <r>
    <s v="CT2017"/>
    <s v="Donors Capital Fund_State Policy Network201125000"/>
    <x v="264"/>
    <x v="59"/>
    <x v="0"/>
    <n v="25000"/>
    <x v="9"/>
    <m/>
    <m/>
  </r>
  <r>
    <s v="CT2017"/>
    <s v="Donors Capital Fund_State Policy Network201130000"/>
    <x v="264"/>
    <x v="59"/>
    <x v="0"/>
    <n v="30000"/>
    <x v="9"/>
    <m/>
    <m/>
  </r>
  <r>
    <s v="CT2017"/>
    <s v="Donors Capital Fund_State Policy Network201135000"/>
    <x v="264"/>
    <x v="59"/>
    <x v="0"/>
    <n v="35000"/>
    <x v="9"/>
    <m/>
    <m/>
  </r>
  <r>
    <s v="CT2017"/>
    <s v="Donors Capital Fund_State Policy Network201135000"/>
    <x v="264"/>
    <x v="59"/>
    <x v="0"/>
    <n v="35000"/>
    <x v="9"/>
    <m/>
    <m/>
  </r>
  <r>
    <s v="CT2017"/>
    <s v="Donors Capital Fund_State Policy Network201140000"/>
    <x v="264"/>
    <x v="59"/>
    <x v="0"/>
    <n v="40000"/>
    <x v="9"/>
    <m/>
    <m/>
  </r>
  <r>
    <s v="CT2017"/>
    <s v="Donors Capital Fund_State Policy Network201140000"/>
    <x v="264"/>
    <x v="59"/>
    <x v="0"/>
    <n v="40000"/>
    <x v="9"/>
    <m/>
    <m/>
  </r>
  <r>
    <s v="CT2017"/>
    <s v="Donors Capital Fund_State Policy Network2011400000"/>
    <x v="264"/>
    <x v="59"/>
    <x v="0"/>
    <n v="400000"/>
    <x v="9"/>
    <m/>
    <m/>
  </r>
  <r>
    <s v="CT2017"/>
    <s v="Donors Capital Fund_State Policy Network201144219"/>
    <x v="264"/>
    <x v="59"/>
    <x v="0"/>
    <n v="44219"/>
    <x v="9"/>
    <m/>
    <m/>
  </r>
  <r>
    <s v="CT2017"/>
    <s v="Donors Capital Fund_State Policy Network201150000"/>
    <x v="264"/>
    <x v="59"/>
    <x v="0"/>
    <n v="50000"/>
    <x v="9"/>
    <m/>
    <m/>
  </r>
  <r>
    <s v="CT2017"/>
    <s v="Donors Capital Fund_State Policy Network201150000"/>
    <x v="264"/>
    <x v="59"/>
    <x v="0"/>
    <n v="50000"/>
    <x v="9"/>
    <m/>
    <m/>
  </r>
  <r>
    <s v="CT2017"/>
    <s v="Donors Capital Fund_State Policy Network201150000"/>
    <x v="264"/>
    <x v="59"/>
    <x v="0"/>
    <n v="50000"/>
    <x v="9"/>
    <m/>
    <m/>
  </r>
  <r>
    <s v="CT2017"/>
    <s v="Donors Capital Fund_State Policy Network2011500000"/>
    <x v="264"/>
    <x v="59"/>
    <x v="0"/>
    <n v="500000"/>
    <x v="9"/>
    <m/>
    <m/>
  </r>
  <r>
    <s v="CT2017"/>
    <s v="Donors Capital Fund_State Policy Network201165000"/>
    <x v="264"/>
    <x v="59"/>
    <x v="0"/>
    <n v="65000"/>
    <x v="9"/>
    <m/>
    <m/>
  </r>
  <r>
    <s v="CT2017"/>
    <s v="Donors Capital Fund_State Policy Network20117985"/>
    <x v="264"/>
    <x v="59"/>
    <x v="0"/>
    <n v="7985"/>
    <x v="9"/>
    <m/>
    <m/>
  </r>
  <r>
    <s v="CT2017"/>
    <s v="Donors Capital Fund_State Policy Network201180000"/>
    <x v="264"/>
    <x v="59"/>
    <x v="0"/>
    <n v="80000"/>
    <x v="9"/>
    <m/>
    <m/>
  </r>
  <r>
    <s v="CT2017"/>
    <s v="Donors Capital Fund_State Policy Network20101753000"/>
    <x v="265"/>
    <x v="59"/>
    <x v="0"/>
    <n v="1753000"/>
    <x v="10"/>
    <m/>
    <m/>
  </r>
  <r>
    <s v="CT2017"/>
    <s v="Donors Capital Fund_State Policy Network20092570047"/>
    <x v="266"/>
    <x v="59"/>
    <x v="0"/>
    <n v="2570047"/>
    <x v="11"/>
    <m/>
    <m/>
  </r>
  <r>
    <s v="CT2017"/>
    <s v="Donors Capital Fund_State Policy Network20081488750"/>
    <x v="267"/>
    <x v="59"/>
    <x v="0"/>
    <n v="1488750"/>
    <x v="12"/>
    <m/>
    <m/>
  </r>
  <r>
    <s v="CT2017"/>
    <s v="Donors Capital Fund_State Policy Network20071522600"/>
    <x v="268"/>
    <x v="59"/>
    <x v="0"/>
    <n v="1522600"/>
    <x v="13"/>
    <m/>
    <m/>
  </r>
  <r>
    <s v="CT2017"/>
    <s v="Donors Capital Fund_State Policy Network200576000"/>
    <x v="269"/>
    <x v="59"/>
    <x v="0"/>
    <n v="76000"/>
    <x v="15"/>
    <m/>
    <m/>
  </r>
  <r>
    <s v="CT2017"/>
    <s v="Donors Capital Fund_State Policy Network20041000"/>
    <x v="270"/>
    <x v="59"/>
    <x v="0"/>
    <n v="1000"/>
    <x v="16"/>
    <m/>
    <m/>
  </r>
  <r>
    <s v="CT2017"/>
    <s v="Donors Capital Fund_State Policy Network20031000"/>
    <x v="271"/>
    <x v="59"/>
    <x v="0"/>
    <n v="1000"/>
    <x v="17"/>
    <m/>
    <m/>
  </r>
  <r>
    <s v="CT2017"/>
    <s v="Donors Capital Fund_State Policy Network20021000"/>
    <x v="272"/>
    <x v="59"/>
    <x v="0"/>
    <n v="1000"/>
    <x v="22"/>
    <m/>
    <m/>
  </r>
  <r>
    <s v="https://www.documentcloud.org/documents/24171031-donorstrust-2022-990"/>
    <s v="DonorsTrust_State Policy Network2022100000"/>
    <x v="273"/>
    <x v="60"/>
    <x v="0"/>
    <n v="100000"/>
    <x v="0"/>
    <s v="added"/>
    <m/>
  </r>
  <r>
    <s v="https://www.documentcloud.org/documents/24171031-donorstrust-2022-990"/>
    <s v="DonorsTrust_State Policy Network20228542400"/>
    <x v="273"/>
    <x v="60"/>
    <x v="0"/>
    <n v="8542400"/>
    <x v="0"/>
    <s v="added"/>
    <m/>
  </r>
  <r>
    <s v="https://www.documentcloud.org/documents/24171031-donorstrust-2022-990"/>
    <s v="DonorsTrust_State Policy Network202250000"/>
    <x v="273"/>
    <x v="60"/>
    <x v="0"/>
    <n v="50000"/>
    <x v="0"/>
    <s v="added"/>
    <m/>
  </r>
  <r>
    <n v="990"/>
    <s v="DonorsTrust_State Policy Network202126000"/>
    <x v="274"/>
    <x v="60"/>
    <x v="0"/>
    <n v="26000"/>
    <x v="18"/>
    <s v="added"/>
    <m/>
  </r>
  <r>
    <n v="990"/>
    <s v="DonorsTrust_State Policy Network202175000"/>
    <x v="274"/>
    <x v="60"/>
    <x v="0"/>
    <n v="75000"/>
    <x v="18"/>
    <s v="added"/>
    <m/>
  </r>
  <r>
    <n v="990"/>
    <s v="DonorsTrust_State Policy Network20218933775"/>
    <x v="274"/>
    <x v="60"/>
    <x v="0"/>
    <n v="8933775"/>
    <x v="18"/>
    <s v="added"/>
    <m/>
  </r>
  <r>
    <n v="990"/>
    <s v="DonorsTrust_State Policy Network20207952550"/>
    <x v="275"/>
    <x v="60"/>
    <x v="0"/>
    <n v="7952550"/>
    <x v="19"/>
    <s v="added"/>
    <m/>
  </r>
  <r>
    <n v="990"/>
    <s v="DonorsTrust_State Policy Network20202000"/>
    <x v="275"/>
    <x v="60"/>
    <x v="0"/>
    <n v="2000"/>
    <x v="19"/>
    <s v="added"/>
    <m/>
  </r>
  <r>
    <n v="990"/>
    <s v="DonorsTrust_State Policy Network2020350000"/>
    <x v="275"/>
    <x v="60"/>
    <x v="0"/>
    <n v="350000"/>
    <x v="19"/>
    <s v="added"/>
    <m/>
  </r>
  <r>
    <n v="990"/>
    <s v="DonorsTrust_State Policy Network20191721"/>
    <x v="276"/>
    <x v="60"/>
    <x v="0"/>
    <n v="1721"/>
    <x v="1"/>
    <s v="added"/>
    <m/>
  </r>
  <r>
    <n v="990"/>
    <s v="DonorsTrust_State Policy Network2019700000"/>
    <x v="276"/>
    <x v="60"/>
    <x v="0"/>
    <n v="700000"/>
    <x v="1"/>
    <s v="added"/>
    <m/>
  </r>
  <r>
    <n v="990"/>
    <s v="DonorsTrust_State Policy Network201937500"/>
    <x v="276"/>
    <x v="60"/>
    <x v="0"/>
    <n v="37500"/>
    <x v="1"/>
    <s v="added"/>
    <m/>
  </r>
  <r>
    <n v="990"/>
    <s v="DonorsTrust_State Policy Network20196504900"/>
    <x v="276"/>
    <x v="60"/>
    <x v="0"/>
    <n v="6504900"/>
    <x v="1"/>
    <s v="added"/>
    <m/>
  </r>
  <r>
    <n v="990"/>
    <s v="DonorsTrust_State Policy Network20192000"/>
    <x v="276"/>
    <x v="60"/>
    <x v="0"/>
    <n v="2000"/>
    <x v="1"/>
    <s v="added"/>
    <m/>
  </r>
  <r>
    <n v="990"/>
    <s v="DonorsTrust_State Policy Network20187539300"/>
    <x v="277"/>
    <x v="60"/>
    <x v="0"/>
    <n v="7539300"/>
    <x v="2"/>
    <s v="added"/>
    <m/>
  </r>
  <r>
    <n v="990"/>
    <s v="DonorsTrust_State Policy Network201750000"/>
    <x v="278"/>
    <x v="60"/>
    <x v="0"/>
    <n v="50000"/>
    <x v="3"/>
    <s v="added"/>
    <m/>
  </r>
  <r>
    <n v="990"/>
    <s v="DonorsTrust_State Policy Network201710000"/>
    <x v="278"/>
    <x v="60"/>
    <x v="0"/>
    <n v="10000"/>
    <x v="3"/>
    <s v="added"/>
    <m/>
  </r>
  <r>
    <n v="990"/>
    <s v="DonorsTrust_State Policy Network201731000"/>
    <x v="278"/>
    <x v="60"/>
    <x v="0"/>
    <n v="31000"/>
    <x v="3"/>
    <s v="added"/>
    <m/>
  </r>
  <r>
    <n v="990"/>
    <s v="DonorsTrust_State Policy Network2017724000"/>
    <x v="278"/>
    <x v="60"/>
    <x v="0"/>
    <n v="724000"/>
    <x v="3"/>
    <s v="added"/>
    <m/>
  </r>
  <r>
    <n v="990"/>
    <s v="DonorsTrust_State Policy Network201740000"/>
    <x v="278"/>
    <x v="60"/>
    <x v="0"/>
    <n v="40000"/>
    <x v="3"/>
    <s v="added"/>
    <m/>
  </r>
  <r>
    <n v="990"/>
    <s v="DonorsTrust_State Policy Network2017520150"/>
    <x v="278"/>
    <x v="60"/>
    <x v="0"/>
    <n v="520150"/>
    <x v="3"/>
    <s v="added"/>
    <m/>
  </r>
  <r>
    <n v="990"/>
    <s v="DonorsTrust_State Policy Network201720000"/>
    <x v="278"/>
    <x v="60"/>
    <x v="0"/>
    <n v="20000"/>
    <x v="3"/>
    <s v="added"/>
    <m/>
  </r>
  <r>
    <n v="990"/>
    <s v="DonorsTrust_State Policy Network201785000"/>
    <x v="278"/>
    <x v="60"/>
    <x v="0"/>
    <n v="85000"/>
    <x v="3"/>
    <s v="added"/>
    <m/>
  </r>
  <r>
    <n v="990"/>
    <s v="DonorsTrust_State Policy Network201720000"/>
    <x v="278"/>
    <x v="60"/>
    <x v="0"/>
    <n v="20000"/>
    <x v="3"/>
    <s v="added"/>
    <m/>
  </r>
  <r>
    <n v="990"/>
    <s v="DonorsTrust_State Policy Network2017700000"/>
    <x v="278"/>
    <x v="60"/>
    <x v="0"/>
    <n v="700000"/>
    <x v="3"/>
    <s v="added"/>
    <m/>
  </r>
  <r>
    <n v="990"/>
    <s v="DonorsTrust_State Policy Network201725000"/>
    <x v="278"/>
    <x v="60"/>
    <x v="0"/>
    <n v="25000"/>
    <x v="3"/>
    <s v="added"/>
    <m/>
  </r>
  <r>
    <n v="990"/>
    <s v="DonorsTrust_State Policy Network2017250"/>
    <x v="278"/>
    <x v="60"/>
    <x v="0"/>
    <n v="250"/>
    <x v="3"/>
    <s v="added"/>
    <m/>
  </r>
  <r>
    <n v="990"/>
    <s v="DonorsTrust_State Policy Network20171499500"/>
    <x v="278"/>
    <x v="60"/>
    <x v="0"/>
    <n v="1499500"/>
    <x v="3"/>
    <s v="added"/>
    <m/>
  </r>
  <r>
    <n v="990"/>
    <s v="DonorsTrust_State Policy Network20172000"/>
    <x v="278"/>
    <x v="60"/>
    <x v="0"/>
    <n v="2000"/>
    <x v="3"/>
    <s v="added"/>
    <m/>
  </r>
  <r>
    <n v="990"/>
    <s v="DonorsTrust_State Policy Network201740000"/>
    <x v="278"/>
    <x v="60"/>
    <x v="0"/>
    <n v="40000"/>
    <x v="3"/>
    <s v="added"/>
    <m/>
  </r>
  <r>
    <n v="990"/>
    <s v="DonorsTrust_State Policy Network20172500"/>
    <x v="278"/>
    <x v="60"/>
    <x v="0"/>
    <n v="2500"/>
    <x v="3"/>
    <s v="added"/>
    <m/>
  </r>
  <r>
    <n v="990"/>
    <s v="DonorsTrust_State Policy Network2017200"/>
    <x v="278"/>
    <x v="60"/>
    <x v="0"/>
    <n v="200"/>
    <x v="3"/>
    <s v="added"/>
    <m/>
  </r>
  <r>
    <n v="990"/>
    <s v="DonorsTrust_State Policy Network20171000"/>
    <x v="278"/>
    <x v="60"/>
    <x v="0"/>
    <n v="1000"/>
    <x v="3"/>
    <s v="added"/>
    <m/>
  </r>
  <r>
    <n v="990"/>
    <s v="DonorsTrust_State Policy Network20171428700"/>
    <x v="278"/>
    <x v="60"/>
    <x v="0"/>
    <n v="1428700"/>
    <x v="3"/>
    <s v="added"/>
    <m/>
  </r>
  <r>
    <n v="990"/>
    <s v="DonorsTrust_State Policy Network2017550500"/>
    <x v="278"/>
    <x v="60"/>
    <x v="0"/>
    <n v="550500"/>
    <x v="3"/>
    <s v="added"/>
    <m/>
  </r>
  <r>
    <n v="990"/>
    <s v="DonorsTrust_State Policy Network20161000"/>
    <x v="279"/>
    <x v="60"/>
    <x v="0"/>
    <n v="1000"/>
    <x v="4"/>
    <s v="added"/>
    <m/>
  </r>
  <r>
    <n v="990"/>
    <s v="DonorsTrust_State Policy Network20161000"/>
    <x v="279"/>
    <x v="60"/>
    <x v="0"/>
    <n v="1000"/>
    <x v="4"/>
    <s v="added"/>
    <m/>
  </r>
  <r>
    <n v="990"/>
    <s v="DonorsTrust_State Policy Network20162500"/>
    <x v="279"/>
    <x v="60"/>
    <x v="0"/>
    <n v="2500"/>
    <x v="4"/>
    <s v="added"/>
    <m/>
  </r>
  <r>
    <n v="990"/>
    <s v="DonorsTrust_State Policy Network201610000"/>
    <x v="279"/>
    <x v="60"/>
    <x v="0"/>
    <n v="10000"/>
    <x v="4"/>
    <s v="added"/>
    <m/>
  </r>
  <r>
    <n v="990"/>
    <s v="DonorsTrust_State Policy Network20161500"/>
    <x v="279"/>
    <x v="60"/>
    <x v="0"/>
    <n v="1500"/>
    <x v="4"/>
    <s v="added"/>
    <m/>
  </r>
  <r>
    <n v="990"/>
    <s v="DonorsTrust_State Policy Network20165000"/>
    <x v="279"/>
    <x v="60"/>
    <x v="0"/>
    <n v="5000"/>
    <x v="4"/>
    <s v="added"/>
    <m/>
  </r>
  <r>
    <n v="990"/>
    <s v="DonorsTrust_State Policy Network20168000"/>
    <x v="279"/>
    <x v="60"/>
    <x v="0"/>
    <n v="8000"/>
    <x v="4"/>
    <s v="added"/>
    <m/>
  </r>
  <r>
    <n v="990"/>
    <s v="DonorsTrust_State Policy Network201635000"/>
    <x v="279"/>
    <x v="60"/>
    <x v="0"/>
    <n v="35000"/>
    <x v="4"/>
    <s v="added"/>
    <m/>
  </r>
  <r>
    <n v="990"/>
    <s v="DonorsTrust_State Policy Network201520000"/>
    <x v="280"/>
    <x v="60"/>
    <x v="0"/>
    <n v="20000"/>
    <x v="5"/>
    <s v="added"/>
    <m/>
  </r>
  <r>
    <n v="990"/>
    <s v="DonorsTrust_State Policy Network2015291632.05"/>
    <x v="280"/>
    <x v="60"/>
    <x v="0"/>
    <n v="291632.05"/>
    <x v="5"/>
    <s v="added"/>
    <m/>
  </r>
  <r>
    <n v="990"/>
    <s v="DonorsTrust_State Policy Network20152500"/>
    <x v="280"/>
    <x v="60"/>
    <x v="0"/>
    <n v="2500"/>
    <x v="5"/>
    <s v="added"/>
    <m/>
  </r>
  <r>
    <n v="990"/>
    <s v="DonorsTrust_State Policy Network201525000"/>
    <x v="280"/>
    <x v="60"/>
    <x v="0"/>
    <n v="25000"/>
    <x v="5"/>
    <s v="added"/>
    <m/>
  </r>
  <r>
    <n v="990"/>
    <s v="DonorsTrust_State Policy Network20151250"/>
    <x v="280"/>
    <x v="60"/>
    <x v="0"/>
    <n v="1250"/>
    <x v="5"/>
    <s v="added"/>
    <m/>
  </r>
  <r>
    <n v="990"/>
    <s v="DonorsTrust_State Policy Network201510000"/>
    <x v="280"/>
    <x v="60"/>
    <x v="0"/>
    <n v="10000"/>
    <x v="5"/>
    <s v="added"/>
    <m/>
  </r>
  <r>
    <n v="990"/>
    <s v="DonorsTrust_State Policy Network20151000"/>
    <x v="280"/>
    <x v="60"/>
    <x v="0"/>
    <n v="1000"/>
    <x v="5"/>
    <s v="added"/>
    <m/>
  </r>
  <r>
    <n v="990"/>
    <s v="DonorsTrust_State Policy Network2015200"/>
    <x v="280"/>
    <x v="60"/>
    <x v="0"/>
    <n v="200"/>
    <x v="5"/>
    <s v="added"/>
    <m/>
  </r>
  <r>
    <s v="CT2017"/>
    <s v="DonorsTrust_State Policy Network20141000"/>
    <x v="281"/>
    <x v="60"/>
    <x v="0"/>
    <n v="1000"/>
    <x v="6"/>
    <s v="verified"/>
    <m/>
  </r>
  <r>
    <s v="CT2017"/>
    <s v="DonorsTrust_State Policy Network201410000"/>
    <x v="281"/>
    <x v="60"/>
    <x v="0"/>
    <n v="10000"/>
    <x v="6"/>
    <s v="verified"/>
    <m/>
  </r>
  <r>
    <s v="CT2017"/>
    <s v="DonorsTrust_State Policy Network20142500"/>
    <x v="281"/>
    <x v="60"/>
    <x v="0"/>
    <n v="2500"/>
    <x v="6"/>
    <s v="verified"/>
    <m/>
  </r>
  <r>
    <s v="CT2017"/>
    <s v="DonorsTrust_State Policy Network2014200"/>
    <x v="281"/>
    <x v="60"/>
    <x v="0"/>
    <n v="200"/>
    <x v="6"/>
    <s v="verified"/>
    <m/>
  </r>
  <r>
    <s v="CT2017"/>
    <s v="DonorsTrust_State Policy Network20141250"/>
    <x v="281"/>
    <x v="60"/>
    <x v="0"/>
    <n v="1250"/>
    <x v="6"/>
    <s v="verified"/>
    <m/>
  </r>
  <r>
    <s v="CT2017"/>
    <s v="DonorsTrust_State Policy Network20142000"/>
    <x v="281"/>
    <x v="60"/>
    <x v="0"/>
    <n v="2000"/>
    <x v="6"/>
    <s v="verified"/>
    <m/>
  </r>
  <r>
    <s v="CT2017"/>
    <s v="DonorsTrust_State Policy Network20145000"/>
    <x v="281"/>
    <x v="60"/>
    <x v="0"/>
    <n v="5000"/>
    <x v="6"/>
    <s v="verified"/>
    <m/>
  </r>
  <r>
    <s v="CT2017"/>
    <s v="DonorsTrust_State Policy Network201435000"/>
    <x v="281"/>
    <x v="60"/>
    <x v="0"/>
    <n v="35000"/>
    <x v="6"/>
    <s v="verified"/>
    <m/>
  </r>
  <r>
    <s v="CT2017"/>
    <s v="DonorsTrust_State Policy Network2014437599.28"/>
    <x v="281"/>
    <x v="60"/>
    <x v="0"/>
    <n v="437599.28"/>
    <x v="6"/>
    <s v="verified"/>
    <m/>
  </r>
  <r>
    <s v="CT2017"/>
    <s v="DonorsTrust_State Policy Network20145000"/>
    <x v="281"/>
    <x v="60"/>
    <x v="0"/>
    <n v="5000"/>
    <x v="6"/>
    <s v="verified"/>
    <m/>
  </r>
  <r>
    <s v="CT2017"/>
    <s v="DonorsTrust_State Policy Network20145000"/>
    <x v="281"/>
    <x v="60"/>
    <x v="0"/>
    <n v="5000"/>
    <x v="6"/>
    <s v="verified"/>
    <m/>
  </r>
  <r>
    <s v="CT2017"/>
    <s v="DonorsTrust_State Policy Network20135000"/>
    <x v="282"/>
    <x v="60"/>
    <x v="0"/>
    <n v="5000"/>
    <x v="7"/>
    <s v="verified"/>
    <m/>
  </r>
  <r>
    <s v="CT2017"/>
    <s v="DonorsTrust_State Policy Network20132000"/>
    <x v="282"/>
    <x v="60"/>
    <x v="0"/>
    <n v="2000"/>
    <x v="7"/>
    <s v="verified"/>
    <m/>
  </r>
  <r>
    <s v="CT2017"/>
    <s v="DonorsTrust_State Policy Network20132500"/>
    <x v="282"/>
    <x v="60"/>
    <x v="0"/>
    <n v="2500"/>
    <x v="7"/>
    <s v="verified"/>
    <m/>
  </r>
  <r>
    <s v="CT2017"/>
    <s v="DonorsTrust_State Policy Network2013200"/>
    <x v="282"/>
    <x v="60"/>
    <x v="0"/>
    <n v="200"/>
    <x v="7"/>
    <s v="verified"/>
    <m/>
  </r>
  <r>
    <s v="CT2017"/>
    <s v="DonorsTrust_State Policy Network201310000"/>
    <x v="282"/>
    <x v="60"/>
    <x v="0"/>
    <n v="10000"/>
    <x v="7"/>
    <s v="verified"/>
    <m/>
  </r>
  <r>
    <s v="CT2017"/>
    <s v="DonorsTrust_State Policy Network201325000"/>
    <x v="282"/>
    <x v="60"/>
    <x v="0"/>
    <n v="25000"/>
    <x v="7"/>
    <s v="verified"/>
    <m/>
  </r>
  <r>
    <s v="CT2017"/>
    <s v="DonorsTrust_State Policy Network2013250000"/>
    <x v="282"/>
    <x v="60"/>
    <x v="0"/>
    <n v="250000"/>
    <x v="7"/>
    <s v="verified"/>
    <m/>
  </r>
  <r>
    <s v="CT2017"/>
    <s v="DonorsTrust_State Policy Network20131250"/>
    <x v="282"/>
    <x v="60"/>
    <x v="0"/>
    <n v="1250"/>
    <x v="7"/>
    <s v="verified"/>
    <m/>
  </r>
  <r>
    <s v="CT2017"/>
    <s v="DonorsTrust_State Policy Network2012100"/>
    <x v="283"/>
    <x v="60"/>
    <x v="0"/>
    <n v="100"/>
    <x v="8"/>
    <s v="verified"/>
    <m/>
  </r>
  <r>
    <s v="CT2017"/>
    <s v="DonorsTrust_State Policy Network2012200000"/>
    <x v="283"/>
    <x v="60"/>
    <x v="0"/>
    <n v="200000"/>
    <x v="8"/>
    <s v="verified"/>
    <m/>
  </r>
  <r>
    <s v="CT2017"/>
    <s v="DonorsTrust_State Policy Network2012600"/>
    <x v="283"/>
    <x v="60"/>
    <x v="0"/>
    <n v="600"/>
    <x v="8"/>
    <s v="verified"/>
    <m/>
  </r>
  <r>
    <s v="CT2017"/>
    <s v="DonorsTrust_State Policy Network20122000"/>
    <x v="283"/>
    <x v="60"/>
    <x v="0"/>
    <n v="2000"/>
    <x v="8"/>
    <s v="verified"/>
    <m/>
  </r>
  <r>
    <s v="CT2017"/>
    <s v="DonorsTrust_State Policy Network20121200"/>
    <x v="283"/>
    <x v="60"/>
    <x v="0"/>
    <n v="1200"/>
    <x v="8"/>
    <s v="verified"/>
    <m/>
  </r>
  <r>
    <s v="CT2017"/>
    <s v="DonorsTrust_State Policy Network20125000"/>
    <x v="283"/>
    <x v="60"/>
    <x v="0"/>
    <n v="5000"/>
    <x v="8"/>
    <s v="verified"/>
    <m/>
  </r>
  <r>
    <s v="CT2017"/>
    <s v="DonorsTrust_State Policy Network2012100000"/>
    <x v="283"/>
    <x v="60"/>
    <x v="0"/>
    <n v="100000"/>
    <x v="8"/>
    <s v="verified"/>
    <m/>
  </r>
  <r>
    <s v="CT2017"/>
    <s v="DonorsTrust_State Policy Network2012200"/>
    <x v="283"/>
    <x v="60"/>
    <x v="0"/>
    <n v="200"/>
    <x v="8"/>
    <s v="verified"/>
    <m/>
  </r>
  <r>
    <s v="CT2017"/>
    <s v="DonorsTrust_State Policy Network201224000"/>
    <x v="283"/>
    <x v="60"/>
    <x v="0"/>
    <n v="24000"/>
    <x v="8"/>
    <s v="verified"/>
    <m/>
  </r>
  <r>
    <s v="CT2017"/>
    <s v="DonorsTrust_State Policy Network20121000"/>
    <x v="283"/>
    <x v="60"/>
    <x v="0"/>
    <n v="1000"/>
    <x v="8"/>
    <s v="verified"/>
    <m/>
  </r>
  <r>
    <s v="CT2017"/>
    <s v="DonorsTrust_State Policy Network201225000"/>
    <x v="283"/>
    <x v="60"/>
    <x v="0"/>
    <n v="25000"/>
    <x v="8"/>
    <s v="verified"/>
    <m/>
  </r>
  <r>
    <s v="CT2017"/>
    <s v="DonorsTrust_State Policy Network20121000"/>
    <x v="283"/>
    <x v="60"/>
    <x v="0"/>
    <n v="1000"/>
    <x v="8"/>
    <s v="verified"/>
    <m/>
  </r>
  <r>
    <s v="CT2017"/>
    <s v="DonorsTrust_State Policy Network20121500"/>
    <x v="283"/>
    <x v="60"/>
    <x v="0"/>
    <n v="1500"/>
    <x v="8"/>
    <s v="verified"/>
    <m/>
  </r>
  <r>
    <s v="CT2017"/>
    <s v="DonorsTrust_State Policy Network2012450"/>
    <x v="283"/>
    <x v="60"/>
    <x v="0"/>
    <n v="450"/>
    <x v="8"/>
    <s v="verified"/>
    <m/>
  </r>
  <r>
    <s v="CT2017"/>
    <s v="DonorsTrust_State Policy Network20125000"/>
    <x v="283"/>
    <x v="60"/>
    <x v="0"/>
    <n v="5000"/>
    <x v="8"/>
    <s v="verified"/>
    <m/>
  </r>
  <r>
    <s v="CT2017"/>
    <s v="DonorsTrust_State Policy Network20121000"/>
    <x v="283"/>
    <x v="60"/>
    <x v="0"/>
    <n v="1000"/>
    <x v="8"/>
    <s v="verified"/>
    <m/>
  </r>
  <r>
    <s v="CT2017"/>
    <s v="DonorsTrust_State Policy Network2011500"/>
    <x v="284"/>
    <x v="60"/>
    <x v="0"/>
    <n v="500"/>
    <x v="9"/>
    <s v="verified"/>
    <m/>
  </r>
  <r>
    <s v="CT2017"/>
    <s v="DonorsTrust_State Policy Network2011100"/>
    <x v="284"/>
    <x v="60"/>
    <x v="0"/>
    <n v="100"/>
    <x v="9"/>
    <s v="verified"/>
    <m/>
  </r>
  <r>
    <s v="CT2017"/>
    <s v="DonorsTrust_State Policy Network20115000"/>
    <x v="284"/>
    <x v="60"/>
    <x v="0"/>
    <n v="5000"/>
    <x v="9"/>
    <s v="verified"/>
    <m/>
  </r>
  <r>
    <s v="CT2017"/>
    <s v="DonorsTrust_State Policy Network20112000"/>
    <x v="284"/>
    <x v="60"/>
    <x v="0"/>
    <n v="2000"/>
    <x v="9"/>
    <s v="verified"/>
    <m/>
  </r>
  <r>
    <s v="CT2017"/>
    <s v="DonorsTrust_State Policy Network20111000"/>
    <x v="284"/>
    <x v="60"/>
    <x v="0"/>
    <n v="1000"/>
    <x v="9"/>
    <s v="verified"/>
    <m/>
  </r>
  <r>
    <s v="CT2017"/>
    <s v="DonorsTrust_State Policy Network20112000"/>
    <x v="284"/>
    <x v="60"/>
    <x v="0"/>
    <n v="2000"/>
    <x v="9"/>
    <s v="verified"/>
    <m/>
  </r>
  <r>
    <s v="CT2017"/>
    <s v="DonorsTrust_State Policy Network201110000"/>
    <x v="284"/>
    <x v="60"/>
    <x v="0"/>
    <n v="10000"/>
    <x v="9"/>
    <s v="verified"/>
    <m/>
  </r>
  <r>
    <s v="CT2017"/>
    <s v="DonorsTrust_State Policy Network201190000"/>
    <x v="284"/>
    <x v="60"/>
    <x v="0"/>
    <n v="90000"/>
    <x v="9"/>
    <s v="verified"/>
    <m/>
  </r>
  <r>
    <s v="CT2017"/>
    <s v="DonorsTrust_State Policy Network2011100"/>
    <x v="284"/>
    <x v="60"/>
    <x v="0"/>
    <n v="100"/>
    <x v="9"/>
    <s v="verified"/>
    <m/>
  </r>
  <r>
    <s v="CT2017"/>
    <s v="DonorsTrust_State Policy Network20105000"/>
    <x v="285"/>
    <x v="60"/>
    <x v="0"/>
    <n v="5000"/>
    <x v="10"/>
    <s v="verified"/>
    <m/>
  </r>
  <r>
    <s v="CT2017"/>
    <s v="DonorsTrust_State Policy Network20102000"/>
    <x v="285"/>
    <x v="60"/>
    <x v="0"/>
    <n v="2000"/>
    <x v="10"/>
    <s v="verified"/>
    <m/>
  </r>
  <r>
    <s v="CT2017"/>
    <s v="DonorsTrust_State Policy Network20101000"/>
    <x v="285"/>
    <x v="60"/>
    <x v="0"/>
    <n v="1000"/>
    <x v="10"/>
    <s v="verified"/>
    <m/>
  </r>
  <r>
    <s v="CT2017"/>
    <s v="DonorsTrust_State Policy Network20101000"/>
    <x v="285"/>
    <x v="60"/>
    <x v="0"/>
    <n v="1000"/>
    <x v="10"/>
    <s v="verified"/>
    <m/>
  </r>
  <r>
    <s v="CT2017"/>
    <s v="DonorsTrust_State Policy Network2010500"/>
    <x v="285"/>
    <x v="60"/>
    <x v="0"/>
    <n v="500"/>
    <x v="10"/>
    <s v="verified"/>
    <m/>
  </r>
  <r>
    <s v="CT2017"/>
    <s v="DonorsTrust_State Policy Network2010100"/>
    <x v="285"/>
    <x v="60"/>
    <x v="0"/>
    <n v="100"/>
    <x v="10"/>
    <s v="verified"/>
    <m/>
  </r>
  <r>
    <s v="CT2017"/>
    <s v="DonorsTrust_State Policy Network201075000"/>
    <x v="285"/>
    <x v="60"/>
    <x v="0"/>
    <n v="75000"/>
    <x v="10"/>
    <s v="verified"/>
    <m/>
  </r>
  <r>
    <s v="CT2017"/>
    <s v="DonorsTrust_State Policy Network2010186500"/>
    <x v="285"/>
    <x v="60"/>
    <x v="0"/>
    <n v="186500"/>
    <x v="10"/>
    <s v="verified"/>
    <m/>
  </r>
  <r>
    <s v="CT2017"/>
    <s v="DonorsTrust_State Policy Network2010255000"/>
    <x v="285"/>
    <x v="60"/>
    <x v="0"/>
    <n v="255000"/>
    <x v="10"/>
    <s v="verified"/>
    <m/>
  </r>
  <r>
    <s v="CT2017"/>
    <s v="DonorsTrust_State Policy Network2009200"/>
    <x v="286"/>
    <x v="60"/>
    <x v="0"/>
    <n v="200"/>
    <x v="11"/>
    <s v="verified"/>
    <m/>
  </r>
  <r>
    <s v="CT2017"/>
    <s v="DonorsTrust_State Policy Network2009500"/>
    <x v="286"/>
    <x v="60"/>
    <x v="0"/>
    <n v="500"/>
    <x v="11"/>
    <s v="verified"/>
    <m/>
  </r>
  <r>
    <s v="CT2017"/>
    <s v="DonorsTrust_State Policy Network20091000"/>
    <x v="286"/>
    <x v="60"/>
    <x v="0"/>
    <n v="1000"/>
    <x v="11"/>
    <s v="verified"/>
    <m/>
  </r>
  <r>
    <s v="CT2017"/>
    <s v="DonorsTrust_State Policy Network20091000"/>
    <x v="286"/>
    <x v="60"/>
    <x v="0"/>
    <n v="1000"/>
    <x v="11"/>
    <s v="verified"/>
    <m/>
  </r>
  <r>
    <s v="CT2017"/>
    <s v="DonorsTrust_State Policy Network20092000"/>
    <x v="286"/>
    <x v="60"/>
    <x v="0"/>
    <n v="2000"/>
    <x v="11"/>
    <s v="verified"/>
    <m/>
  </r>
  <r>
    <s v="CT2017"/>
    <s v="DonorsTrust_State Policy Network200910000"/>
    <x v="286"/>
    <x v="60"/>
    <x v="0"/>
    <n v="10000"/>
    <x v="11"/>
    <s v="verified"/>
    <m/>
  </r>
  <r>
    <s v="CT2017"/>
    <s v="DonorsTrust_State Policy Network2008500"/>
    <x v="287"/>
    <x v="60"/>
    <x v="0"/>
    <n v="500"/>
    <x v="12"/>
    <s v="verified"/>
    <m/>
  </r>
  <r>
    <s v="CT2017"/>
    <s v="DonorsTrust_State Policy Network20073000"/>
    <x v="288"/>
    <x v="60"/>
    <x v="0"/>
    <n v="3000"/>
    <x v="13"/>
    <s v="verified"/>
    <m/>
  </r>
  <r>
    <s v="CT2017"/>
    <s v="DonorsTrust_State Policy Network200610200"/>
    <x v="289"/>
    <x v="60"/>
    <x v="0"/>
    <n v="10200"/>
    <x v="14"/>
    <s v="verified"/>
    <m/>
  </r>
  <r>
    <s v="CT2017"/>
    <s v="DonorsTrust_State Policy Network20052500"/>
    <x v="290"/>
    <x v="60"/>
    <x v="0"/>
    <n v="2500"/>
    <x v="15"/>
    <s v="verified"/>
    <m/>
  </r>
  <r>
    <s v="CT2017"/>
    <s v="DonorsTrust_State Policy Network20041750"/>
    <x v="291"/>
    <x v="60"/>
    <x v="0"/>
    <n v="1750"/>
    <x v="16"/>
    <s v="verified"/>
    <m/>
  </r>
  <r>
    <s v="CT2017"/>
    <s v="DonorsTrust_State Policy Network20021500"/>
    <x v="292"/>
    <x v="60"/>
    <x v="0"/>
    <n v="1500"/>
    <x v="22"/>
    <s v="verified"/>
    <m/>
  </r>
  <r>
    <s v="https://projects.propublica.org/nonprofits/organizations/367463172/202301319349102695/IRS990PF"/>
    <s v="Donovan Family Foundation_State Policy Network20225000"/>
    <x v="293"/>
    <x v="61"/>
    <x v="0"/>
    <n v="5000"/>
    <x v="0"/>
    <s v="added"/>
    <m/>
  </r>
  <r>
    <s v="https://projects.propublica.org/nonprofits/organizations/367463172/202211329349101411/IRS990PF"/>
    <s v="Donovan Family Foundation_State Policy Network202110000"/>
    <x v="294"/>
    <x v="61"/>
    <x v="0"/>
    <n v="10000"/>
    <x v="18"/>
    <s v="added"/>
    <m/>
  </r>
  <r>
    <s v="https://projects.propublica.org/nonprofits/organizations/367463172/202111319349100001/IRS990PF"/>
    <s v="Donovan Family Foundation_State Policy Network20205000"/>
    <x v="295"/>
    <x v="61"/>
    <x v="0"/>
    <n v="5000"/>
    <x v="19"/>
    <s v="added"/>
    <m/>
  </r>
  <r>
    <s v="https://projects.propublica.org/nonprofits/display_990/367463172/09_2019_prefixes_34-37%2F367463172_201812_990PF_2019091816663666"/>
    <s v="Donovan Family Foundation_State Policy Network20185000"/>
    <x v="296"/>
    <x v="61"/>
    <x v="0"/>
    <n v="5000"/>
    <x v="2"/>
    <s v="added"/>
    <m/>
  </r>
  <r>
    <n v="990"/>
    <s v="Dunn's Foundation for Advancement of Right Thinking_State Policy Network2021100000"/>
    <x v="297"/>
    <x v="62"/>
    <x v="0"/>
    <n v="100000"/>
    <x v="18"/>
    <s v="added"/>
    <m/>
  </r>
  <r>
    <n v="990"/>
    <s v="Dunn's Foundation for Advancement of Right Thinking_State Policy Network202050000"/>
    <x v="298"/>
    <x v="62"/>
    <x v="0"/>
    <n v="50000"/>
    <x v="19"/>
    <s v="added"/>
    <m/>
  </r>
  <r>
    <n v="990"/>
    <s v="Dunn's Foundation for Advancement of Right Thinking_State Policy Network201950000"/>
    <x v="299"/>
    <x v="62"/>
    <x v="0"/>
    <n v="50000"/>
    <x v="1"/>
    <s v="added"/>
    <m/>
  </r>
  <r>
    <n v="990"/>
    <s v="Dunn's Foundation for Advancement of Right Thinking_State Policy Network201840000"/>
    <x v="300"/>
    <x v="62"/>
    <x v="0"/>
    <n v="40000"/>
    <x v="2"/>
    <s v="added"/>
    <m/>
  </r>
  <r>
    <n v="990"/>
    <s v="Dunn's Foundation for Advancement of Right Thinking_State Policy Network201625000"/>
    <x v="301"/>
    <x v="62"/>
    <x v="0"/>
    <n v="25000"/>
    <x v="4"/>
    <s v="added"/>
    <m/>
  </r>
  <r>
    <s v="CT2016"/>
    <s v="Dunn's Foundation for Advancement of Right Thinking_State Policy Network2012100000"/>
    <x v="302"/>
    <x v="62"/>
    <x v="0"/>
    <n v="100000"/>
    <x v="8"/>
    <s v="verified"/>
    <m/>
  </r>
  <r>
    <s v="CT2016"/>
    <s v="Dunn's Foundation for Advancement of Right Thinking_State Policy Network20101000"/>
    <x v="303"/>
    <x v="62"/>
    <x v="0"/>
    <n v="1000"/>
    <x v="10"/>
    <s v="verified"/>
    <m/>
  </r>
  <r>
    <s v="https://projects.propublica.org/nonprofits/organizations/363978733/202013499349301306/IRS990ScheduleI"/>
    <s v="Dupage Community Foundation_State Policy Network202035000"/>
    <x v="304"/>
    <x v="63"/>
    <x v="0"/>
    <n v="35000"/>
    <x v="19"/>
    <s v="added"/>
    <m/>
  </r>
  <r>
    <s v="https://projects.propublica.org/nonprofits/organizations/363978733/201923579349300407/IRS990ScheduleI"/>
    <s v="Dupage Community Foundation_State Policy Network201960000"/>
    <x v="305"/>
    <x v="63"/>
    <x v="0"/>
    <n v="60000"/>
    <x v="1"/>
    <s v="added"/>
    <m/>
  </r>
  <r>
    <s v="https://projects.propublica.org/nonprofits/organizations/363978733/201703529349300385/IRS990ScheduleI"/>
    <s v="Dupage Community Foundation_State Policy Network201715000"/>
    <x v="306"/>
    <x v="63"/>
    <x v="0"/>
    <n v="15000"/>
    <x v="3"/>
    <s v="added"/>
    <m/>
  </r>
  <r>
    <n v="990"/>
    <s v="E L Craig Foundation_State Policy Network20045000"/>
    <x v="307"/>
    <x v="64"/>
    <x v="0"/>
    <n v="5000"/>
    <x v="16"/>
    <s v="added"/>
    <m/>
  </r>
  <r>
    <s v="https://projects.propublica.org/nonprofits/organizations/223038088/202310389349100206/IRS990PF"/>
    <s v="Earl W and Hildagunda A Brinkman Private Charitable Foundation_State Policy Network2022500"/>
    <x v="308"/>
    <x v="65"/>
    <x v="0"/>
    <n v="500"/>
    <x v="0"/>
    <s v="added"/>
    <m/>
  </r>
  <r>
    <n v="990"/>
    <s v="Ed Foundation_State Policy Network200850000"/>
    <x v="309"/>
    <x v="66"/>
    <x v="0"/>
    <n v="50000"/>
    <x v="12"/>
    <s v="added"/>
    <m/>
  </r>
  <r>
    <n v="990"/>
    <s v="Ed Uihlein Family Foundation_State Policy Network201525000"/>
    <x v="310"/>
    <x v="67"/>
    <x v="0"/>
    <n v="25000"/>
    <x v="5"/>
    <s v="added"/>
    <m/>
  </r>
  <r>
    <n v="990"/>
    <s v="Edison Electric Institute_State Policy Network201815000"/>
    <x v="311"/>
    <x v="68"/>
    <x v="0"/>
    <n v="15000"/>
    <x v="2"/>
    <s v="added"/>
    <m/>
  </r>
  <r>
    <n v="990"/>
    <s v="Edison Electric Institute_State Policy Network201615000"/>
    <x v="312"/>
    <x v="68"/>
    <x v="0"/>
    <n v="15000"/>
    <x v="4"/>
    <s v="added"/>
    <m/>
  </r>
  <r>
    <n v="990"/>
    <s v="Edison Electric Institute_State Policy Network201410000"/>
    <x v="313"/>
    <x v="68"/>
    <x v="0"/>
    <n v="10000"/>
    <x v="6"/>
    <s v="added"/>
    <m/>
  </r>
  <r>
    <s v="https://projects.propublica.org/nonprofits/organizations/462829206/201911429349300341/IRS990ScheduleI"/>
    <s v="Education Freedom Alliance_State Policy Network201710000"/>
    <x v="314"/>
    <x v="69"/>
    <x v="0"/>
    <n v="10000"/>
    <x v="3"/>
    <s v="added"/>
    <m/>
  </r>
  <r>
    <s v="https://projects.propublica.org/nonprofits/organizations/341386776/202233199349102178/IRS990PF"/>
    <s v="Edward A &amp; Catherine L Lozick Foundation_State Policy Network202150000"/>
    <x v="315"/>
    <x v="70"/>
    <x v="0"/>
    <n v="50000"/>
    <x v="18"/>
    <s v="added"/>
    <m/>
  </r>
  <r>
    <s v="https://projects.propublica.org/nonprofits/organizations/341386776/202133199349106068/IRS990PF"/>
    <s v="Edward A &amp; Catherine L Lozick Foundation_State Policy Network20205000"/>
    <x v="316"/>
    <x v="70"/>
    <x v="0"/>
    <n v="5000"/>
    <x v="19"/>
    <s v="added"/>
    <m/>
  </r>
  <r>
    <s v="https://projects.propublica.org/nonprofits/display_990/341386776/02_2021_prefixes_31-34%2F341386776_201912_990PF_2021022617759431"/>
    <s v="Edward A &amp; Catherine L Lozick Foundation_State Policy Network20195000"/>
    <x v="317"/>
    <x v="70"/>
    <x v="0"/>
    <n v="5000"/>
    <x v="1"/>
    <s v="added"/>
    <m/>
  </r>
  <r>
    <s v="https://projects.propublica.org/nonprofits/organizations/752681488/201703149349100600/IRS990PF"/>
    <s v="Edward A &amp; Catherine L Lozick Foundation_State Policy Network20161000"/>
    <x v="318"/>
    <x v="70"/>
    <x v="0"/>
    <n v="1000"/>
    <x v="4"/>
    <s v="added"/>
    <m/>
  </r>
  <r>
    <s v="https://projects.propublica.org/nonprofits/organizations/752681488/201703149349100600/IRS990PF"/>
    <s v="Edward and Wilhelmina Ackerman Foundation_State Policy Network20161000"/>
    <x v="319"/>
    <x v="71"/>
    <x v="0"/>
    <n v="1000"/>
    <x v="4"/>
    <s v="added"/>
    <m/>
  </r>
  <r>
    <s v="https://projects.propublica.org/nonprofits/display_990/752681488/2016_05_PF%2F75-2681488_990PF_201512"/>
    <s v="Edward and Wilhelmina Ackerman Foundation_State Policy Network20151000"/>
    <x v="320"/>
    <x v="71"/>
    <x v="0"/>
    <n v="1000"/>
    <x v="5"/>
    <s v="added"/>
    <m/>
  </r>
  <r>
    <s v="https://projects.propublica.org/nonprofits/display_990/752681488/2015_05_PF%2F75-2681488_990PF_201412"/>
    <s v="Edward and Wilhelmina Ackerman Foundation_State Policy Network20141000"/>
    <x v="321"/>
    <x v="71"/>
    <x v="0"/>
    <n v="1000"/>
    <x v="6"/>
    <s v="added"/>
    <m/>
  </r>
  <r>
    <s v="https://projects.propublica.org/nonprofits/display_990/752681488/2014_05_PF%2F75-2681488_990PF_201312"/>
    <s v="Edward and Wilhelmina Ackerman Foundation_State Policy Network20131000"/>
    <x v="322"/>
    <x v="71"/>
    <x v="0"/>
    <n v="1000"/>
    <x v="7"/>
    <s v="added"/>
    <m/>
  </r>
  <r>
    <s v="https://projects.propublica.org/nonprofits/organizations/136125334/202331709349100213/IRS990PF"/>
    <s v="Eric Javits Family Foundation_State Policy Network20221000"/>
    <x v="323"/>
    <x v="72"/>
    <x v="0"/>
    <n v="1000"/>
    <x v="0"/>
    <s v="added"/>
    <m/>
  </r>
  <r>
    <n v="990"/>
    <s v="Eric Javits Family Foundation_State Policy Network20212000"/>
    <x v="324"/>
    <x v="72"/>
    <x v="0"/>
    <n v="2000"/>
    <x v="18"/>
    <s v="added"/>
    <m/>
  </r>
  <r>
    <n v="990"/>
    <s v="Eric Javits Family Foundation_State Policy Network20201000"/>
    <x v="325"/>
    <x v="72"/>
    <x v="0"/>
    <n v="1000"/>
    <x v="19"/>
    <s v="added"/>
    <m/>
  </r>
  <r>
    <n v="990"/>
    <s v="Eric Javits Family Foundation_State Policy Network20191000"/>
    <x v="326"/>
    <x v="72"/>
    <x v="0"/>
    <n v="1000"/>
    <x v="1"/>
    <s v="added"/>
    <m/>
  </r>
  <r>
    <n v="990"/>
    <s v="Eric Javits Family Foundation_State Policy Network20181000"/>
    <x v="327"/>
    <x v="72"/>
    <x v="0"/>
    <n v="1000"/>
    <x v="2"/>
    <s v="added"/>
    <m/>
  </r>
  <r>
    <n v="990"/>
    <s v="Eric Javits Family Foundation_State Policy Network20171000"/>
    <x v="328"/>
    <x v="72"/>
    <x v="0"/>
    <n v="1000"/>
    <x v="3"/>
    <s v="added"/>
    <m/>
  </r>
  <r>
    <n v="990"/>
    <s v="Eric Javits Family Foundation_State Policy Network20161000"/>
    <x v="329"/>
    <x v="72"/>
    <x v="0"/>
    <n v="1000"/>
    <x v="4"/>
    <s v="added"/>
    <m/>
  </r>
  <r>
    <n v="990"/>
    <s v="Eric Javits Family Foundation_State Policy Network20151000"/>
    <x v="330"/>
    <x v="72"/>
    <x v="0"/>
    <n v="1000"/>
    <x v="5"/>
    <s v="added"/>
    <m/>
  </r>
  <r>
    <n v="990"/>
    <s v="Eric Javits Family Foundation_State Policy Network2014500"/>
    <x v="331"/>
    <x v="72"/>
    <x v="0"/>
    <n v="500"/>
    <x v="6"/>
    <s v="added"/>
    <m/>
  </r>
  <r>
    <n v="990"/>
    <s v="Eric Javits Family Foundation_State Policy Network2013250"/>
    <x v="332"/>
    <x v="72"/>
    <x v="0"/>
    <n v="250"/>
    <x v="7"/>
    <s v="added"/>
    <m/>
  </r>
  <r>
    <n v="990"/>
    <s v="Eric Javits Family Foundation_State Policy Network2012500"/>
    <x v="333"/>
    <x v="72"/>
    <x v="0"/>
    <n v="500"/>
    <x v="8"/>
    <s v="added"/>
    <m/>
  </r>
  <r>
    <n v="990"/>
    <s v="Eric Javits Family Foundation_State Policy Network20111000"/>
    <x v="334"/>
    <x v="72"/>
    <x v="0"/>
    <n v="1000"/>
    <x v="9"/>
    <s v="added"/>
    <m/>
  </r>
  <r>
    <n v="990"/>
    <s v="Eric Javits Family Foundation_State Policy Network2010500"/>
    <x v="335"/>
    <x v="72"/>
    <x v="0"/>
    <n v="500"/>
    <x v="10"/>
    <s v="added"/>
    <m/>
  </r>
  <r>
    <n v="990"/>
    <s v="Eric Javits Family Foundation_State Policy Network2009500"/>
    <x v="336"/>
    <x v="72"/>
    <x v="0"/>
    <n v="500"/>
    <x v="11"/>
    <s v="added"/>
    <m/>
  </r>
  <r>
    <n v="990"/>
    <s v="Eric Javits Family Foundation_State Policy Network20081000"/>
    <x v="337"/>
    <x v="72"/>
    <x v="0"/>
    <n v="1000"/>
    <x v="12"/>
    <s v="added"/>
    <m/>
  </r>
  <r>
    <s v="https://projects.propublica.org/nonprofits/organizations/436064859/201813189349103206/IRS990PF"/>
    <s v="Ewing Marion Kauffman Foundation_State Policy Network201721410"/>
    <x v="338"/>
    <x v="73"/>
    <x v="0"/>
    <n v="21410"/>
    <x v="3"/>
    <s v="added"/>
    <m/>
  </r>
  <r>
    <s v="https://projects.propublica.org/nonprofits/organizations/262261897/201921509349100872/IRS990PF"/>
    <s v="Farmer Family Foundation_State Policy Network20181000"/>
    <x v="339"/>
    <x v="74"/>
    <x v="0"/>
    <n v="1000"/>
    <x v="2"/>
    <s v="added"/>
    <m/>
  </r>
  <r>
    <s v="https://projects.propublica.org/nonprofits/organizations/912167530/202233139349102033/IRS990PF"/>
    <s v="Farrell Family Foundation_State Policy Network202125000"/>
    <x v="340"/>
    <x v="75"/>
    <x v="0"/>
    <n v="25000"/>
    <x v="18"/>
    <s v="added"/>
    <m/>
  </r>
  <r>
    <s v="https://projects.propublica.org/nonprofits/organizations/912167530/202123149349102587/IRS990PF"/>
    <s v="Farrell Family Foundation_State Policy Network202025000"/>
    <x v="341"/>
    <x v="75"/>
    <x v="0"/>
    <n v="25000"/>
    <x v="19"/>
    <s v="added"/>
    <m/>
  </r>
  <r>
    <s v="https://projects.propublica.org/nonprofits/display_990/912167530/download990pdf_10_2021_prefixes_84-99%2F912167530_201912_990PF_2021102019108317"/>
    <s v="Farrell Family Foundation_State Policy Network201925000"/>
    <x v="342"/>
    <x v="75"/>
    <x v="0"/>
    <n v="25000"/>
    <x v="1"/>
    <s v="added"/>
    <m/>
  </r>
  <r>
    <s v="https://projects.propublica.org/nonprofits/display_990/912167530/IRS%2F912167530_201612_990PF_2017060514494065"/>
    <s v="Farrell Family Foundation_State Policy Network20163500"/>
    <x v="343"/>
    <x v="75"/>
    <x v="0"/>
    <n v="3500"/>
    <x v="4"/>
    <s v="added"/>
    <m/>
  </r>
  <r>
    <s v="https://projects.propublica.org/nonprofits/display_990/912167530/2016_06_PF%2F91-2167530_990PF_201512"/>
    <s v="Farrell Family Foundation_State Policy Network20151000"/>
    <x v="344"/>
    <x v="75"/>
    <x v="0"/>
    <n v="1000"/>
    <x v="5"/>
    <s v="added"/>
    <m/>
  </r>
  <r>
    <s v="https://projects.propublica.org/nonprofits/display_990/912167530/2014_05_PF%2F91-2167530_990PF_201312"/>
    <s v="Farrell Family Foundation_State Policy Network20131000"/>
    <x v="345"/>
    <x v="75"/>
    <x v="0"/>
    <n v="1000"/>
    <x v="7"/>
    <s v="added"/>
    <m/>
  </r>
  <r>
    <s v="https://projects.propublica.org/nonprofits/organizations/110303001/202321309349304807/IRS990ScheduleI"/>
    <s v="Fidelity Investments Charitable Gift Fund_State Policy Network2022131750"/>
    <x v="346"/>
    <x v="76"/>
    <x v="0"/>
    <n v="131750"/>
    <x v="0"/>
    <s v="added"/>
    <m/>
  </r>
  <r>
    <s v="https://projects.propublica.org/nonprofits/organizations/110303001/202221339349302787/IRS990ScheduleI"/>
    <s v="Fidelity Investments Charitable Gift Fund_State Policy Network2021189950"/>
    <x v="347"/>
    <x v="76"/>
    <x v="0"/>
    <n v="189950"/>
    <x v="18"/>
    <s v="added"/>
    <m/>
  </r>
  <r>
    <s v="https://projects.propublica.org/nonprofits/organizations/110303001/202121359349300427/IRS990ScheduleI"/>
    <s v="Fidelity Investments Charitable Gift Fund_State Policy Network2020272605"/>
    <x v="348"/>
    <x v="76"/>
    <x v="0"/>
    <n v="272605"/>
    <x v="19"/>
    <s v="added"/>
    <m/>
  </r>
  <r>
    <s v="https://projects.propublica.org/nonprofits/organizations/110303001/202041789349301474/IRS990ScheduleI"/>
    <s v="Fidelity Investments Charitable Gift Fund_State Policy Network2019188675"/>
    <x v="349"/>
    <x v="76"/>
    <x v="0"/>
    <n v="188675"/>
    <x v="1"/>
    <s v="added"/>
    <m/>
  </r>
  <r>
    <s v="https://projects.propublica.org/nonprofits/organizations/110303001/201931359349301478/IRS990ScheduleI"/>
    <s v="Fidelity Investments Charitable Gift Fund_State Policy Network2018139880"/>
    <x v="350"/>
    <x v="76"/>
    <x v="0"/>
    <n v="139880"/>
    <x v="2"/>
    <s v="added"/>
    <m/>
  </r>
  <r>
    <s v="https://projects.propublica.org/nonprofits/organizations/731576866/202243189349104409/IRS990PF"/>
    <s v="Florence and Gordon Holland Family Foundation_State Policy Network2021500"/>
    <x v="351"/>
    <x v="77"/>
    <x v="0"/>
    <n v="500"/>
    <x v="18"/>
    <s v="added"/>
    <m/>
  </r>
  <r>
    <s v="https://projects.propublica.org/nonprofits/organizations/731576866/202102649349100705/IRS990PF"/>
    <s v="Florence and Gordon Holland Family Foundation_State Policy Network2020500"/>
    <x v="352"/>
    <x v="77"/>
    <x v="0"/>
    <n v="500"/>
    <x v="19"/>
    <s v="added"/>
    <m/>
  </r>
  <r>
    <n v="990"/>
    <s v="Foundation for Individual Liberty_State Policy Network20225000"/>
    <x v="353"/>
    <x v="78"/>
    <x v="0"/>
    <n v="5000"/>
    <x v="0"/>
    <s v="added"/>
    <m/>
  </r>
  <r>
    <n v="990"/>
    <s v="Foundation for Individual Liberty_State Policy Network20215000"/>
    <x v="354"/>
    <x v="78"/>
    <x v="0"/>
    <n v="5000"/>
    <x v="18"/>
    <s v="added"/>
    <m/>
  </r>
  <r>
    <n v="990"/>
    <s v="Foundation for Individual Liberty_State Policy Network20205000"/>
    <x v="355"/>
    <x v="78"/>
    <x v="0"/>
    <n v="5000"/>
    <x v="19"/>
    <s v="added"/>
    <m/>
  </r>
  <r>
    <n v="990"/>
    <s v="Foundation for Individual Liberty_State Policy Network201910000"/>
    <x v="356"/>
    <x v="78"/>
    <x v="0"/>
    <n v="10000"/>
    <x v="1"/>
    <s v="added"/>
    <m/>
  </r>
  <r>
    <n v="990"/>
    <s v="Foundation for Individual Liberty_State Policy Network201825000"/>
    <x v="357"/>
    <x v="78"/>
    <x v="0"/>
    <n v="25000"/>
    <x v="2"/>
    <s v="added"/>
    <m/>
  </r>
  <r>
    <n v="990"/>
    <s v="Foundation for Individual Liberty_State Policy Network2017"/>
    <x v="358"/>
    <x v="78"/>
    <x v="0"/>
    <m/>
    <x v="3"/>
    <s v="added"/>
    <s v="text of $ amount unreadable"/>
  </r>
  <r>
    <n v="990"/>
    <s v="Foundation for Individual Liberty_State Policy Network201610000"/>
    <x v="359"/>
    <x v="78"/>
    <x v="0"/>
    <n v="10000"/>
    <x v="4"/>
    <s v="added"/>
    <m/>
  </r>
  <r>
    <n v="990"/>
    <s v="Foundation for Individual Liberty_State Policy Network20155000"/>
    <x v="360"/>
    <x v="78"/>
    <x v="0"/>
    <n v="5000"/>
    <x v="5"/>
    <s v="added"/>
    <m/>
  </r>
  <r>
    <n v="990"/>
    <s v="Foundation for Individual Liberty_State Policy Network20145000"/>
    <x v="361"/>
    <x v="78"/>
    <x v="0"/>
    <n v="5000"/>
    <x v="6"/>
    <s v="added"/>
    <m/>
  </r>
  <r>
    <n v="990"/>
    <s v="Frank B and Virginia V Fehsenfeld Charitable Foundation_State Policy Network20171000"/>
    <x v="362"/>
    <x v="79"/>
    <x v="0"/>
    <n v="1000"/>
    <x v="3"/>
    <s v="added"/>
    <m/>
  </r>
  <r>
    <n v="990"/>
    <s v="Frank B and Virginia V Fehsenfeld Charitable Foundation_State Policy Network20161000"/>
    <x v="363"/>
    <x v="79"/>
    <x v="0"/>
    <n v="1000"/>
    <x v="4"/>
    <s v="added"/>
    <m/>
  </r>
  <r>
    <n v="990"/>
    <s v="Frank B and Virginia V Fehsenfeld Charitable Foundation_State Policy Network20151000"/>
    <x v="364"/>
    <x v="79"/>
    <x v="0"/>
    <n v="1000"/>
    <x v="5"/>
    <s v="added"/>
    <m/>
  </r>
  <r>
    <s v="https://projects.propublica.org/nonprofits/organizations/367347911/202212409349100251/IRS990PF"/>
    <s v="Frankel Family Charitable Trust_State Policy Network20211000"/>
    <x v="365"/>
    <x v="80"/>
    <x v="0"/>
    <n v="1000"/>
    <x v="18"/>
    <s v="added"/>
    <m/>
  </r>
  <r>
    <s v="https://projects.propublica.org/nonprofits/organizations/367347911/202113199349100646/IRS990PF"/>
    <s v="Frankel Family Charitable Trust_State Policy Network20202000"/>
    <x v="366"/>
    <x v="80"/>
    <x v="0"/>
    <n v="2000"/>
    <x v="19"/>
    <s v="added"/>
    <m/>
  </r>
  <r>
    <s v="https://projects.propublica.org/nonprofits/organizations/367347911/202033179349102958/IRS990PF"/>
    <s v="Frankel Family Charitable Trust_State Policy Network20192000"/>
    <x v="367"/>
    <x v="80"/>
    <x v="0"/>
    <n v="2000"/>
    <x v="1"/>
    <s v="added"/>
    <m/>
  </r>
  <r>
    <s v="https://projects.propublica.org/nonprofits/organizations/367347911/201933199349100823/IRS990PF"/>
    <s v="Frankel Family Charitable Trust_State Policy Network20182000"/>
    <x v="368"/>
    <x v="80"/>
    <x v="0"/>
    <n v="2000"/>
    <x v="2"/>
    <s v="added"/>
    <m/>
  </r>
  <r>
    <s v="https://projects.propublica.org/nonprofits/organizations/367347911/201832079349100613/IRS990PF"/>
    <s v="Frankel Family Charitable Trust_State Policy Network20171000"/>
    <x v="369"/>
    <x v="80"/>
    <x v="0"/>
    <n v="1000"/>
    <x v="3"/>
    <s v="added"/>
    <m/>
  </r>
  <r>
    <s v="https://projects.propublica.org/nonprofits/organizations/341761181/202203199349102280/IRS990PF"/>
    <s v="Fred A Lennon Charitable Trust_State Policy Network202110000"/>
    <x v="370"/>
    <x v="81"/>
    <x v="0"/>
    <n v="10000"/>
    <x v="18"/>
    <s v="added"/>
    <m/>
  </r>
  <r>
    <s v="https://projects.propublica.org/nonprofits/organizations/341761181/202113199349105376/IRS990PF"/>
    <s v="Fred A Lennon Charitable Trust_State Policy Network202010000"/>
    <x v="371"/>
    <x v="81"/>
    <x v="0"/>
    <n v="10000"/>
    <x v="19"/>
    <s v="added"/>
    <m/>
  </r>
  <r>
    <s v="https://projects.propublica.org/nonprofits/display_990/341761181/2014_11_PF%2F34-1761181_990PF_201312"/>
    <s v="Fred A Lennon Charitable Trust_State Policy Network20135000"/>
    <x v="372"/>
    <x v="81"/>
    <x v="0"/>
    <n v="5000"/>
    <x v="7"/>
    <s v="added"/>
    <m/>
  </r>
  <r>
    <s v="https://projects.propublica.org/nonprofits/display_990/341761181/2013_11_PF%2F34-1761181_990PF_201212"/>
    <s v="Fred A Lennon Charitable Trust_State Policy Network20125000"/>
    <x v="373"/>
    <x v="81"/>
    <x v="0"/>
    <n v="5000"/>
    <x v="8"/>
    <s v="added"/>
    <m/>
  </r>
  <r>
    <s v="https://projects.propublica.org/nonprofits/organizations/136100032/201512729349100001/IRS990PF"/>
    <s v="Fred and Gertrude Perlberg Foundation_State Policy Network2015100"/>
    <x v="374"/>
    <x v="82"/>
    <x v="0"/>
    <n v="100"/>
    <x v="5"/>
    <s v="added"/>
    <m/>
  </r>
  <r>
    <s v="CT2017"/>
    <s v="Friedman Foundation For Educational Choice_State Policy Network200210000"/>
    <x v="375"/>
    <x v="83"/>
    <x v="0"/>
    <n v="10000"/>
    <x v="22"/>
    <m/>
    <m/>
  </r>
  <r>
    <s v="https://projects.propublica.org/nonprofits/redirect_to_990/346881707/2011"/>
    <s v="G A F Foundation_State Policy Network2011500"/>
    <x v="376"/>
    <x v="84"/>
    <x v="0"/>
    <n v="500"/>
    <x v="9"/>
    <s v="added"/>
    <m/>
  </r>
  <r>
    <s v="https://projects.propublica.org/nonprofits/organizations/50494243/201943109349100404/IRS990PF"/>
    <s v="Galkin Private Foundation_State Policy Network20182000"/>
    <x v="377"/>
    <x v="85"/>
    <x v="0"/>
    <n v="2000"/>
    <x v="2"/>
    <s v="added"/>
    <m/>
  </r>
  <r>
    <n v="990"/>
    <s v="Garvey Kansas Foundation_State Policy Network20215000"/>
    <x v="378"/>
    <x v="86"/>
    <x v="0"/>
    <n v="5000"/>
    <x v="18"/>
    <s v="added"/>
    <m/>
  </r>
  <r>
    <n v="990"/>
    <s v="Garvey Kansas Foundation_State Policy Network20202000"/>
    <x v="379"/>
    <x v="86"/>
    <x v="0"/>
    <n v="2000"/>
    <x v="19"/>
    <s v="added"/>
    <m/>
  </r>
  <r>
    <n v="990"/>
    <s v="Garvey Kansas Foundation_State Policy Network20192000"/>
    <x v="380"/>
    <x v="86"/>
    <x v="0"/>
    <n v="2000"/>
    <x v="1"/>
    <s v="added"/>
    <m/>
  </r>
  <r>
    <n v="990"/>
    <s v="Garvey Kansas Foundation_State Policy Network20186000"/>
    <x v="381"/>
    <x v="86"/>
    <x v="0"/>
    <n v="6000"/>
    <x v="2"/>
    <s v="added"/>
    <m/>
  </r>
  <r>
    <n v="990"/>
    <s v="Garvey Kansas Foundation_State Policy Network20171000"/>
    <x v="382"/>
    <x v="86"/>
    <x v="0"/>
    <n v="1000"/>
    <x v="3"/>
    <s v="added"/>
    <m/>
  </r>
  <r>
    <n v="990"/>
    <s v="Garvey Kansas Foundation_State Policy Network20161000"/>
    <x v="383"/>
    <x v="86"/>
    <x v="0"/>
    <n v="1000"/>
    <x v="4"/>
    <s v="added"/>
    <m/>
  </r>
  <r>
    <n v="990"/>
    <s v="Garvey Kansas Foundation_State Policy Network2015200"/>
    <x v="384"/>
    <x v="86"/>
    <x v="0"/>
    <n v="200"/>
    <x v="5"/>
    <s v="added"/>
    <m/>
  </r>
  <r>
    <n v="990"/>
    <s v="Garvey Kansas Foundation_State Policy Network2014200"/>
    <x v="385"/>
    <x v="86"/>
    <x v="0"/>
    <n v="200"/>
    <x v="6"/>
    <s v="added"/>
    <m/>
  </r>
  <r>
    <n v="990"/>
    <s v="Garvey Kansas Foundation_State Policy Network2013200"/>
    <x v="386"/>
    <x v="86"/>
    <x v="0"/>
    <n v="200"/>
    <x v="7"/>
    <s v="added"/>
    <m/>
  </r>
  <r>
    <n v="990"/>
    <s v="Garvey Kansas Foundation_State Policy Network2012200"/>
    <x v="387"/>
    <x v="86"/>
    <x v="0"/>
    <n v="200"/>
    <x v="8"/>
    <s v="added"/>
    <m/>
  </r>
  <r>
    <n v="990"/>
    <s v="Garvey Kansas Foundation_State Policy Network2011200"/>
    <x v="388"/>
    <x v="86"/>
    <x v="0"/>
    <n v="200"/>
    <x v="9"/>
    <s v="added"/>
    <m/>
  </r>
  <r>
    <n v="990"/>
    <s v="Garvey Kansas Foundation_State Policy Network2010200"/>
    <x v="389"/>
    <x v="86"/>
    <x v="0"/>
    <n v="200"/>
    <x v="10"/>
    <s v="added"/>
    <m/>
  </r>
  <r>
    <n v="990"/>
    <s v="Garvey Kansas Foundation_State Policy Network2009100"/>
    <x v="390"/>
    <x v="86"/>
    <x v="0"/>
    <n v="100"/>
    <x v="11"/>
    <s v="added"/>
    <m/>
  </r>
  <r>
    <n v="990"/>
    <s v="Garvey Kansas Foundation_State Policy Network2008100"/>
    <x v="391"/>
    <x v="86"/>
    <x v="0"/>
    <n v="100"/>
    <x v="12"/>
    <s v="added"/>
    <m/>
  </r>
  <r>
    <n v="990"/>
    <s v="Garvey Kansas Foundation_State Policy Network2007100"/>
    <x v="392"/>
    <x v="86"/>
    <x v="0"/>
    <n v="100"/>
    <x v="13"/>
    <s v="added"/>
    <m/>
  </r>
  <r>
    <s v="https://projects.propublica.org/nonprofits/organizations/222621967/202133099349100763/IRS990PF"/>
    <s v="Ge Foundation_State Policy Network2020525"/>
    <x v="393"/>
    <x v="87"/>
    <x v="0"/>
    <n v="525"/>
    <x v="19"/>
    <s v="added"/>
    <m/>
  </r>
  <r>
    <s v="https://projects.propublica.org/nonprofits/organizations/870529248/201800469349100530/IRS990PF"/>
    <s v="GFC Foundation_State Policy Network20175000"/>
    <x v="394"/>
    <x v="88"/>
    <x v="0"/>
    <n v="5000"/>
    <x v="3"/>
    <s v="added"/>
    <m/>
  </r>
  <r>
    <s v="https://projects.propublica.org/nonprofits/organizations/870529248/201610489349100406/IRS990PF"/>
    <s v="GFC Foundation_State Policy Network20155000"/>
    <x v="395"/>
    <x v="88"/>
    <x v="0"/>
    <n v="5000"/>
    <x v="5"/>
    <s v="added"/>
    <m/>
  </r>
  <r>
    <s v="https://projects.propublica.org/nonprofits/organizations/870529248/201500379349100700/IRS990PF"/>
    <s v="GFC Foundation_State Policy Network20145000"/>
    <x v="396"/>
    <x v="88"/>
    <x v="0"/>
    <n v="5000"/>
    <x v="6"/>
    <s v="added"/>
    <m/>
  </r>
  <r>
    <s v="https://projects.propublica.org/nonprofits/display_990/870529248/2013_11_PF%2F87-0529248_990PF_201306"/>
    <s v="GFC Foundation_State Policy Network20135000"/>
    <x v="397"/>
    <x v="88"/>
    <x v="0"/>
    <n v="5000"/>
    <x v="7"/>
    <s v="added"/>
    <m/>
  </r>
  <r>
    <s v="https://projects.propublica.org/nonprofits/display_990/870529248/2012_11_PF%2F87-0529248_990PF_201206"/>
    <s v="GFC Foundation_State Policy Network20125000"/>
    <x v="398"/>
    <x v="88"/>
    <x v="0"/>
    <n v="5000"/>
    <x v="8"/>
    <s v="added"/>
    <m/>
  </r>
  <r>
    <s v="https://projects.propublica.org/nonprofits/display_990/870529248/2011_11_PF%2F87-0529248_990PF_201106"/>
    <s v="GFC Foundation_State Policy Network20115000"/>
    <x v="399"/>
    <x v="88"/>
    <x v="0"/>
    <n v="5000"/>
    <x v="9"/>
    <s v="added"/>
    <m/>
  </r>
  <r>
    <s v="https://projects.propublica.org/nonprofits/display_990/870529248/2011_01_PF%2F87-0529248_990PF_201006"/>
    <s v="GFC Foundation_State Policy Network201010000"/>
    <x v="400"/>
    <x v="88"/>
    <x v="0"/>
    <n v="10000"/>
    <x v="10"/>
    <s v="added"/>
    <m/>
  </r>
  <r>
    <s v="https://projects.propublica.org/nonprofits/display_990/870529248/2009_02_PF%2F87-0529248_990PF_200806"/>
    <s v="GFC Foundation_State Policy Network200825000"/>
    <x v="401"/>
    <x v="88"/>
    <x v="0"/>
    <n v="25000"/>
    <x v="12"/>
    <s v="added"/>
    <m/>
  </r>
  <r>
    <s v="https://projects.propublica.org/nonprofits/display_990/870529248/2005_11_PF%2F87-0529248_990PF_200506"/>
    <s v="GFC Foundation_State Policy Network20052500"/>
    <x v="402"/>
    <x v="88"/>
    <x v="0"/>
    <n v="2500"/>
    <x v="15"/>
    <s v="added"/>
    <m/>
  </r>
  <r>
    <s v="https://projects.propublica.org/nonprofits/display_990/870529248/2002_09_PF%2F87-0529248_990PF_200206"/>
    <s v="GFC Foundation_State Policy Network20022500"/>
    <x v="403"/>
    <x v="88"/>
    <x v="0"/>
    <n v="2500"/>
    <x v="22"/>
    <s v="added"/>
    <m/>
  </r>
  <r>
    <s v="https://projects.propublica.org/nonprofits/organizations/232219044/202143199349102654/IRS990PF"/>
    <s v="Gilroy and Lillian P Roberts Charitable Foundation_State Policy Network2021100"/>
    <x v="404"/>
    <x v="89"/>
    <x v="0"/>
    <n v="100"/>
    <x v="18"/>
    <s v="added"/>
    <m/>
  </r>
  <r>
    <s v="https://projects.propublica.org/nonprofits/display_990/232219044/download990pdf_11_2021_prefixes_20-27%2F232219044_202006_990PF_2021110219123510"/>
    <s v="Gilroy and Lillian P Roberts Charitable Foundation_State Policy Network2020100"/>
    <x v="405"/>
    <x v="89"/>
    <x v="0"/>
    <n v="100"/>
    <x v="19"/>
    <s v="added"/>
    <m/>
  </r>
  <r>
    <s v="https://projects.propublica.org/nonprofits/display_990/232219044/10_2019_prefixes_22-23%2F232219044_201906_990PF_2019102316775343"/>
    <s v="Gilroy and Lillian P Roberts Charitable Foundation_State Policy Network2019100"/>
    <x v="406"/>
    <x v="89"/>
    <x v="0"/>
    <n v="100"/>
    <x v="1"/>
    <s v="added"/>
    <m/>
  </r>
  <r>
    <s v="https://projects.propublica.org/nonprofits/display_990/232219044/09_2018_prefixes_22-23%2F232219044_201806_990PF_2018092615733400"/>
    <s v="Gilroy and Lillian P Roberts Charitable Foundation_State Policy Network2018100"/>
    <x v="407"/>
    <x v="89"/>
    <x v="0"/>
    <n v="100"/>
    <x v="2"/>
    <s v="added"/>
    <m/>
  </r>
  <r>
    <s v="https://projects.propublica.org/nonprofits/display_990/232219044/IRS%2F232219044_201706_990PF_2017082114661662"/>
    <s v="Gilroy and Lillian P Roberts Charitable Foundation_State Policy Network2017100"/>
    <x v="408"/>
    <x v="89"/>
    <x v="0"/>
    <n v="100"/>
    <x v="3"/>
    <s v="added"/>
    <m/>
  </r>
  <r>
    <s v="https://projects.propublica.org/nonprofits/display_990/232219044/2016_09_PF%2F23-2219044_990PF_201606"/>
    <s v="Gilroy and Lillian P Roberts Charitable Foundation_State Policy Network2016100"/>
    <x v="409"/>
    <x v="89"/>
    <x v="0"/>
    <n v="100"/>
    <x v="4"/>
    <s v="added"/>
    <m/>
  </r>
  <r>
    <s v="https://projects.propublica.org/nonprofits/display_990/232219044/2016_09_PF%2F23-2219044_990PF_201606"/>
    <s v="Gilroy and Lillian P Roberts Charitable Foundation_State Policy Network2016100"/>
    <x v="409"/>
    <x v="89"/>
    <x v="0"/>
    <n v="100"/>
    <x v="4"/>
    <s v="added"/>
    <m/>
  </r>
  <r>
    <s v="https://projects.propublica.org/nonprofits/display_990/232219044/2015_09_PF%2F23-2219044_990PF_201506"/>
    <s v="Gilroy and Lillian P Roberts Charitable Foundation_State Policy Network2015100"/>
    <x v="410"/>
    <x v="89"/>
    <x v="0"/>
    <n v="100"/>
    <x v="5"/>
    <s v="added"/>
    <m/>
  </r>
  <r>
    <s v="https://projects.propublica.org/nonprofits/display_990/232219044/2015_09_PF%2F23-2219044_990PF_201506"/>
    <s v="Gilroy and Lillian P Roberts Charitable Foundation_State Policy Network2015100"/>
    <x v="410"/>
    <x v="89"/>
    <x v="0"/>
    <n v="100"/>
    <x v="5"/>
    <s v="added"/>
    <m/>
  </r>
  <r>
    <s v="https://projects.propublica.org/nonprofits/display_990/232219044/2014_09_PF%2F23-2219044_990PF_201406"/>
    <s v="Gilroy and Lillian P Roberts Charitable Foundation_State Policy Network2014100"/>
    <x v="411"/>
    <x v="89"/>
    <x v="0"/>
    <n v="100"/>
    <x v="6"/>
    <s v="added"/>
    <m/>
  </r>
  <r>
    <s v="https://projects.propublica.org/nonprofits/display_990/232219044/2014_09_PF%2F23-2219044_990PF_201406"/>
    <s v="Gilroy and Lillian P Roberts Charitable Foundation_State Policy Network2014100"/>
    <x v="411"/>
    <x v="89"/>
    <x v="0"/>
    <n v="100"/>
    <x v="6"/>
    <s v="added"/>
    <m/>
  </r>
  <r>
    <s v="https://projects.propublica.org/nonprofits/display_990/232219044/2013_09_PF%2F23-2219044_990PF_201306"/>
    <s v="Gilroy and Lillian P Roberts Charitable Foundation_State Policy Network2013100"/>
    <x v="412"/>
    <x v="89"/>
    <x v="0"/>
    <n v="100"/>
    <x v="7"/>
    <s v="added"/>
    <m/>
  </r>
  <r>
    <s v="https://projects.propublica.org/nonprofits/display_990/232219044/2013_09_PF%2F23-2219044_990PF_201306"/>
    <s v="Gilroy and Lillian P Roberts Charitable Foundation_State Policy Network2013100"/>
    <x v="412"/>
    <x v="89"/>
    <x v="0"/>
    <n v="100"/>
    <x v="7"/>
    <s v="added"/>
    <m/>
  </r>
  <r>
    <s v="https://projects.propublica.org/nonprofits/redirect_to_990/263945798/2012"/>
    <s v="Glacs Endowment Fund_State Policy Network20124000"/>
    <x v="413"/>
    <x v="90"/>
    <x v="0"/>
    <n v="4000"/>
    <x v="8"/>
    <s v="added"/>
    <m/>
  </r>
  <r>
    <s v="https://projects.propublica.org/nonprofits/redirect_to_990/263945798/2011"/>
    <s v="Glacs Endowment Fund_State Policy Network20112000"/>
    <x v="414"/>
    <x v="90"/>
    <x v="0"/>
    <n v="2000"/>
    <x v="9"/>
    <s v="added"/>
    <m/>
  </r>
  <r>
    <s v="https://projects.propublica.org/nonprofits/organizations/465139252/202331249349100843/IRS990PF"/>
    <s v="Gogo Foundation_State Policy Network20221000"/>
    <x v="415"/>
    <x v="91"/>
    <x v="0"/>
    <n v="1000"/>
    <x v="0"/>
    <s v="added"/>
    <m/>
  </r>
  <r>
    <s v="https://projects.propublica.org/nonprofits/organizations/465139252/202231319349104993/IRS990PF"/>
    <s v="Gogo Foundation_State Policy Network20211000"/>
    <x v="416"/>
    <x v="91"/>
    <x v="0"/>
    <n v="1000"/>
    <x v="18"/>
    <s v="added"/>
    <m/>
  </r>
  <r>
    <s v="https://projects.propublica.org/nonprofits/organizations/465139252/202121339349102657/IRS990PF"/>
    <s v="Gogo Foundation_State Policy Network20201000"/>
    <x v="417"/>
    <x v="91"/>
    <x v="0"/>
    <n v="1000"/>
    <x v="19"/>
    <s v="added"/>
    <m/>
  </r>
  <r>
    <s v="https://projects.propublica.org/nonprofits/organizations/465139252/202041609349100134/IRS990PF"/>
    <s v="Gogo Foundation_State Policy Network20195000"/>
    <x v="418"/>
    <x v="91"/>
    <x v="0"/>
    <n v="5000"/>
    <x v="1"/>
    <s v="added"/>
    <m/>
  </r>
  <r>
    <s v="https://projects.propublica.org/nonprofits/organizations/465139252/201710939349100201/IRS990PF"/>
    <s v="Gogo Foundation_State Policy Network20167500"/>
    <x v="419"/>
    <x v="91"/>
    <x v="0"/>
    <n v="7500"/>
    <x v="4"/>
    <s v="added"/>
    <m/>
  </r>
  <r>
    <s v="https://projects.propublica.org/nonprofits/organizations/391419612/201402559349100750/IRS990PF"/>
    <s v="Gordon R Connor Charitable Foundation_State Policy Network2014500"/>
    <x v="420"/>
    <x v="92"/>
    <x v="0"/>
    <n v="500"/>
    <x v="6"/>
    <s v="added"/>
    <m/>
  </r>
  <r>
    <s v="https://pp-990-xml.s3.us-east-1.amazonaws.com/201323169349100432_public.xml"/>
    <s v="Gordon R Connor Charitable Foundation_State Policy Network20131000"/>
    <x v="421"/>
    <x v="92"/>
    <x v="0"/>
    <n v="1000"/>
    <x v="7"/>
    <s v="added"/>
    <m/>
  </r>
  <r>
    <n v="990"/>
    <s v="Government Accountability Alliance_State Policy Network20167500"/>
    <x v="422"/>
    <x v="93"/>
    <x v="0"/>
    <n v="7500"/>
    <x v="4"/>
    <s v="added"/>
    <m/>
  </r>
  <r>
    <s v="https://projects.propublica.org/nonprofits/organizations/237160400/202213199349322246/IRS990ScheduleI"/>
    <s v="Greater Houston Community Foundation_State Policy Network202136000"/>
    <x v="423"/>
    <x v="94"/>
    <x v="0"/>
    <n v="36000"/>
    <x v="18"/>
    <s v="added"/>
    <s v="Form 990, Schedule I (2021)"/>
  </r>
  <r>
    <s v="https://projects.propublica.org/nonprofits/organizations/237160400/202133199349306838/IRS990ScheduleI"/>
    <s v="Greater Houston Community Foundation_State Policy Network2020250"/>
    <x v="424"/>
    <x v="94"/>
    <x v="0"/>
    <n v="250"/>
    <x v="19"/>
    <s v="added"/>
    <s v="Form 990, Schedule I (2020)"/>
  </r>
  <r>
    <s v="https://projects.propublica.org/nonprofits/organizations/237160400/202133199349306838/IRS990ScheduleI"/>
    <s v="Greater Houston Community Foundation_State Policy Network2020500"/>
    <x v="424"/>
    <x v="94"/>
    <x v="0"/>
    <n v="500"/>
    <x v="19"/>
    <s v="added"/>
    <s v="Form 990, Schedule I (2020)"/>
  </r>
  <r>
    <s v="https://projects.propublica.org/nonprofits/organizations/237160400/202133199349306838/IRS990ScheduleI"/>
    <s v="Greater Houston Community Foundation_State Policy Network20201000"/>
    <x v="424"/>
    <x v="94"/>
    <x v="0"/>
    <n v="1000"/>
    <x v="19"/>
    <s v="added"/>
    <s v="Form 990, Schedule I (2020)"/>
  </r>
  <r>
    <s v="https://projects.propublica.org/nonprofits/organizations/237160400/202133199349306838/IRS990ScheduleI"/>
    <s v="Greater Houston Community Foundation_State Policy Network20201000"/>
    <x v="424"/>
    <x v="94"/>
    <x v="0"/>
    <n v="1000"/>
    <x v="19"/>
    <s v="added"/>
    <s v="Form 990, Schedule I (2020)"/>
  </r>
  <r>
    <s v="https://projects.propublica.org/nonprofits/organizations/237160400/202133199349306838/IRS990ScheduleI"/>
    <s v="Greater Houston Community Foundation_State Policy Network20205000"/>
    <x v="424"/>
    <x v="94"/>
    <x v="0"/>
    <n v="5000"/>
    <x v="19"/>
    <s v="added"/>
    <s v="Form 990, Schedule I (2020)"/>
  </r>
  <r>
    <s v="https://projects.propublica.org/nonprofits/organizations/237160400/202133199349306838/IRS990ScheduleI"/>
    <s v="Greater Houston Community Foundation_State Policy Network20206000"/>
    <x v="424"/>
    <x v="94"/>
    <x v="0"/>
    <n v="6000"/>
    <x v="19"/>
    <s v="added"/>
    <s v="Form 990, Schedule I (2020)"/>
  </r>
  <r>
    <s v="https://projects.propublica.org/nonprofits/organizations/237160400/202133199349306838/IRS990ScheduleI"/>
    <s v="Greater Houston Community Foundation_State Policy Network202010000"/>
    <x v="424"/>
    <x v="94"/>
    <x v="0"/>
    <n v="10000"/>
    <x v="19"/>
    <s v="added"/>
    <s v="Form 990, Schedule I (2020)"/>
  </r>
  <r>
    <s v="https://projects.propublica.org/nonprofits/organizations/237160400/202023219349311032/IRS990ScheduleI"/>
    <s v="Greater Houston Community Foundation_State Policy Network20199836"/>
    <x v="425"/>
    <x v="94"/>
    <x v="0"/>
    <n v="9836"/>
    <x v="1"/>
    <s v="added"/>
    <s v="Form 990, Schedule I (2019)"/>
  </r>
  <r>
    <s v="https://projects.propublica.org/nonprofits/organizations/237160400/201922699349301307/IRS990ScheduleI"/>
    <s v="Greater Houston Community Foundation_State Policy Network20186500"/>
    <x v="426"/>
    <x v="94"/>
    <x v="0"/>
    <n v="6500"/>
    <x v="2"/>
    <s v="added"/>
    <s v="Form 990, Schedule I (2018)"/>
  </r>
  <r>
    <s v="https://projects.propublica.org/nonprofits/organizations/237160400/201801239349301595/IRS990ScheduleI"/>
    <s v="Greater Houston Community Foundation_State Policy Network20171000"/>
    <x v="427"/>
    <x v="94"/>
    <x v="0"/>
    <n v="1000"/>
    <x v="3"/>
    <s v="added"/>
    <s v="Form 990, Schedule I (2017)"/>
  </r>
  <r>
    <s v="https://projects.propublica.org/nonprofits/organizations/237160400/201801239349301595/IRS990ScheduleI"/>
    <s v="Greater Houston Community Foundation_State Policy Network20176000"/>
    <x v="427"/>
    <x v="94"/>
    <x v="0"/>
    <n v="6000"/>
    <x v="3"/>
    <s v="added"/>
    <s v="Form 990, Schedule I (2017)"/>
  </r>
  <r>
    <s v="https://projects.propublica.org/nonprofits/organizations/431152398/201733199349301733/IRS990ScheduleI"/>
    <s v="Greater Kansas City Community Foundation_State Policy Network201610000"/>
    <x v="428"/>
    <x v="95"/>
    <x v="0"/>
    <n v="10000"/>
    <x v="4"/>
    <s v="added"/>
    <m/>
  </r>
  <r>
    <n v="990"/>
    <s v="Grover Hermann Foundation_State Policy Network201630000"/>
    <x v="429"/>
    <x v="96"/>
    <x v="0"/>
    <n v="30000"/>
    <x v="4"/>
    <s v="added"/>
    <m/>
  </r>
  <r>
    <n v="990"/>
    <s v="Grover Hermann Foundation_State Policy Network201530000"/>
    <x v="430"/>
    <x v="96"/>
    <x v="0"/>
    <n v="30000"/>
    <x v="5"/>
    <s v="added"/>
    <m/>
  </r>
  <r>
    <n v="990"/>
    <s v="Grover Hermann Foundation_State Policy Network201430000"/>
    <x v="431"/>
    <x v="96"/>
    <x v="0"/>
    <n v="30000"/>
    <x v="6"/>
    <s v="added"/>
    <m/>
  </r>
  <r>
    <n v="990"/>
    <s v="Grover Hermann Foundation_State Policy Network201310000"/>
    <x v="432"/>
    <x v="96"/>
    <x v="0"/>
    <n v="10000"/>
    <x v="7"/>
    <s v="added"/>
    <m/>
  </r>
  <r>
    <n v="990"/>
    <s v="Grover Hermann Foundation_State Policy Network201320000"/>
    <x v="432"/>
    <x v="96"/>
    <x v="0"/>
    <n v="20000"/>
    <x v="7"/>
    <s v="added"/>
    <m/>
  </r>
  <r>
    <n v="990"/>
    <s v="Grover Hermann Foundation_State Policy Network20121000"/>
    <x v="433"/>
    <x v="96"/>
    <x v="0"/>
    <n v="1000"/>
    <x v="8"/>
    <s v="added"/>
    <m/>
  </r>
  <r>
    <n v="990"/>
    <s v="Grover Hermann Foundation_State Policy Network201210000"/>
    <x v="433"/>
    <x v="96"/>
    <x v="0"/>
    <n v="10000"/>
    <x v="8"/>
    <s v="added"/>
    <m/>
  </r>
  <r>
    <n v="990"/>
    <s v="Grover Hermann Foundation_State Policy Network201110000"/>
    <x v="434"/>
    <x v="96"/>
    <x v="0"/>
    <n v="10000"/>
    <x v="9"/>
    <s v="added"/>
    <m/>
  </r>
  <r>
    <n v="990"/>
    <s v="Grover Hermann Foundation_State Policy Network201010000"/>
    <x v="435"/>
    <x v="96"/>
    <x v="0"/>
    <n v="10000"/>
    <x v="10"/>
    <s v="added"/>
    <m/>
  </r>
  <r>
    <n v="990"/>
    <s v="Grover Hermann Foundation_State Policy Network200910000"/>
    <x v="436"/>
    <x v="96"/>
    <x v="0"/>
    <n v="10000"/>
    <x v="11"/>
    <s v="added"/>
    <m/>
  </r>
  <r>
    <n v="990"/>
    <s v="Grover Hermann Foundation_State Policy Network200710000"/>
    <x v="437"/>
    <x v="96"/>
    <x v="0"/>
    <n v="10000"/>
    <x v="13"/>
    <s v="added"/>
    <m/>
  </r>
  <r>
    <n v="990"/>
    <s v="Grover Hermann Foundation_State Policy Network200610000"/>
    <x v="438"/>
    <x v="96"/>
    <x v="0"/>
    <n v="10000"/>
    <x v="14"/>
    <s v="added"/>
    <m/>
  </r>
  <r>
    <n v="990"/>
    <s v="Grover Hermann Foundation_State Policy Network200410000"/>
    <x v="439"/>
    <x v="96"/>
    <x v="0"/>
    <n v="10000"/>
    <x v="16"/>
    <s v="added"/>
    <m/>
  </r>
  <r>
    <n v="990"/>
    <s v="Grover Hermann Foundation_State Policy Network200310000"/>
    <x v="440"/>
    <x v="96"/>
    <x v="0"/>
    <n v="10000"/>
    <x v="17"/>
    <s v="added"/>
    <m/>
  </r>
  <r>
    <n v="990"/>
    <s v="Grover Hermann Foundation_State Policy Network200210000"/>
    <x v="441"/>
    <x v="96"/>
    <x v="0"/>
    <n v="10000"/>
    <x v="22"/>
    <s v="added"/>
    <m/>
  </r>
  <r>
    <n v="990"/>
    <s v="Grover Hermann Foundation_State Policy Network200110000"/>
    <x v="442"/>
    <x v="96"/>
    <x v="0"/>
    <n v="10000"/>
    <x v="20"/>
    <s v="added"/>
    <m/>
  </r>
  <r>
    <n v="990"/>
    <s v="Grover Hermann Foundation_State Policy Network200010000"/>
    <x v="443"/>
    <x v="96"/>
    <x v="0"/>
    <n v="10000"/>
    <x v="21"/>
    <s v="added"/>
    <m/>
  </r>
  <r>
    <s v="https://projects.propublica.org/nonprofits/organizations/770514959/202231339349104708/IRS990PF"/>
    <s v="H and R Peters Family Foundation_State Policy Network2021300"/>
    <x v="444"/>
    <x v="97"/>
    <x v="0"/>
    <n v="300"/>
    <x v="18"/>
    <s v="added"/>
    <m/>
  </r>
  <r>
    <s v="https://projects.propublica.org/nonprofits/organizations/770514959/202211199349100216/IRS990PF"/>
    <s v="H and R Peters Family Foundation_State Policy Network2020100"/>
    <x v="445"/>
    <x v="97"/>
    <x v="0"/>
    <n v="100"/>
    <x v="19"/>
    <s v="added"/>
    <m/>
  </r>
  <r>
    <s v="https://projects.propublica.org/nonprofits/organizations/721418931/201403219349102835/IRS990PF"/>
    <s v="Hardie Family Foundation_State Policy Network2013100"/>
    <x v="446"/>
    <x v="98"/>
    <x v="0"/>
    <n v="100"/>
    <x v="7"/>
    <s v="added"/>
    <m/>
  </r>
  <r>
    <n v="990"/>
    <s v="Hayden Foundation_State Policy Network2021100"/>
    <x v="447"/>
    <x v="99"/>
    <x v="0"/>
    <n v="100"/>
    <x v="18"/>
    <s v="added"/>
    <m/>
  </r>
  <r>
    <n v="990"/>
    <s v="Hayden Foundation_State Policy Network2020100"/>
    <x v="448"/>
    <x v="99"/>
    <x v="0"/>
    <n v="100"/>
    <x v="19"/>
    <s v="added"/>
    <m/>
  </r>
  <r>
    <n v="990"/>
    <s v="Hayden Foundation_State Policy Network2019100"/>
    <x v="449"/>
    <x v="99"/>
    <x v="0"/>
    <n v="100"/>
    <x v="1"/>
    <s v="added"/>
    <m/>
  </r>
  <r>
    <n v="990"/>
    <s v="Hayden Foundation_State Policy Network2018100"/>
    <x v="450"/>
    <x v="99"/>
    <x v="0"/>
    <n v="100"/>
    <x v="2"/>
    <s v="added"/>
    <m/>
  </r>
  <r>
    <n v="990"/>
    <s v="Hayden Foundation_State Policy Network2017100"/>
    <x v="451"/>
    <x v="99"/>
    <x v="0"/>
    <n v="100"/>
    <x v="3"/>
    <s v="added"/>
    <m/>
  </r>
  <r>
    <n v="990"/>
    <s v="Hayden Foundation_State Policy Network2015100"/>
    <x v="452"/>
    <x v="99"/>
    <x v="0"/>
    <n v="100"/>
    <x v="5"/>
    <s v="added"/>
    <m/>
  </r>
  <r>
    <n v="990"/>
    <s v="Hayden Foundation_State Policy Network2014100"/>
    <x v="453"/>
    <x v="99"/>
    <x v="0"/>
    <n v="100"/>
    <x v="6"/>
    <s v="added"/>
    <m/>
  </r>
  <r>
    <n v="990"/>
    <s v="Hayden Foundation_State Policy Network2013100"/>
    <x v="454"/>
    <x v="99"/>
    <x v="0"/>
    <n v="100"/>
    <x v="7"/>
    <s v="added"/>
    <m/>
  </r>
  <r>
    <n v="990"/>
    <s v="Hayden Foundation_State Policy Network20114000"/>
    <x v="455"/>
    <x v="99"/>
    <x v="0"/>
    <n v="4000"/>
    <x v="9"/>
    <s v="added"/>
    <m/>
  </r>
  <r>
    <n v="990"/>
    <s v="Hayden Foundation_State Policy Network20101000"/>
    <x v="456"/>
    <x v="99"/>
    <x v="0"/>
    <n v="1000"/>
    <x v="10"/>
    <s v="added"/>
    <m/>
  </r>
  <r>
    <n v="990"/>
    <s v="Hayden Foundation_State Policy Network20091000"/>
    <x v="457"/>
    <x v="99"/>
    <x v="0"/>
    <n v="1000"/>
    <x v="11"/>
    <s v="added"/>
    <m/>
  </r>
  <r>
    <n v="990"/>
    <s v="Henderson Foundation_State Policy Network20213000"/>
    <x v="458"/>
    <x v="100"/>
    <x v="0"/>
    <n v="3000"/>
    <x v="18"/>
    <s v="added"/>
    <m/>
  </r>
  <r>
    <n v="990"/>
    <s v="Henderson Foundation_State Policy Network20202000"/>
    <x v="459"/>
    <x v="100"/>
    <x v="0"/>
    <n v="2000"/>
    <x v="19"/>
    <s v="added"/>
    <m/>
  </r>
  <r>
    <n v="990"/>
    <s v="Henderson Foundation_State Policy Network20192000"/>
    <x v="460"/>
    <x v="100"/>
    <x v="0"/>
    <n v="2000"/>
    <x v="1"/>
    <s v="added"/>
    <m/>
  </r>
  <r>
    <n v="990"/>
    <s v="Henderson Foundation_State Policy Network20182000"/>
    <x v="461"/>
    <x v="100"/>
    <x v="0"/>
    <n v="2000"/>
    <x v="2"/>
    <s v="added"/>
    <m/>
  </r>
  <r>
    <n v="990"/>
    <s v="Henderson Foundation_State Policy Network20173000"/>
    <x v="462"/>
    <x v="100"/>
    <x v="0"/>
    <n v="3000"/>
    <x v="3"/>
    <s v="added"/>
    <m/>
  </r>
  <r>
    <n v="990"/>
    <s v="Henderson Foundation_State Policy Network20164000"/>
    <x v="463"/>
    <x v="100"/>
    <x v="0"/>
    <n v="4000"/>
    <x v="4"/>
    <s v="added"/>
    <m/>
  </r>
  <r>
    <n v="990"/>
    <s v="Henderson Foundation_State Policy Network20154000"/>
    <x v="464"/>
    <x v="100"/>
    <x v="0"/>
    <n v="4000"/>
    <x v="5"/>
    <s v="added"/>
    <m/>
  </r>
  <r>
    <n v="990"/>
    <s v="Henderson Foundation_State Policy Network20144000"/>
    <x v="465"/>
    <x v="100"/>
    <x v="0"/>
    <n v="4000"/>
    <x v="6"/>
    <s v="added"/>
    <m/>
  </r>
  <r>
    <n v="990"/>
    <s v="Henderson Foundation_State Policy Network20132000"/>
    <x v="466"/>
    <x v="100"/>
    <x v="0"/>
    <n v="2000"/>
    <x v="7"/>
    <s v="added"/>
    <m/>
  </r>
  <r>
    <n v="990"/>
    <s v="Henderson Foundation_State Policy Network20121000"/>
    <x v="467"/>
    <x v="100"/>
    <x v="0"/>
    <n v="1000"/>
    <x v="8"/>
    <s v="added"/>
    <m/>
  </r>
  <r>
    <n v="990"/>
    <s v="Henderson Foundation_State Policy Network20112000"/>
    <x v="468"/>
    <x v="100"/>
    <x v="0"/>
    <n v="2000"/>
    <x v="9"/>
    <s v="added"/>
    <m/>
  </r>
  <r>
    <s v="https://projects.propublica.org/nonprofits/organizations/260446897/202243199349102289/IRS990PF"/>
    <s v="Holmes Family Foundation_State Policy Network20211000"/>
    <x v="469"/>
    <x v="101"/>
    <x v="0"/>
    <n v="1000"/>
    <x v="18"/>
    <s v="added"/>
    <m/>
  </r>
  <r>
    <s v="https://projects.propublica.org/nonprofits/organizations/66438629/201731659349100603/IRS990PF"/>
    <s v="HTMF Foundation_State Policy Network20162500"/>
    <x v="470"/>
    <x v="102"/>
    <x v="0"/>
    <n v="2500"/>
    <x v="4"/>
    <s v="added"/>
    <m/>
  </r>
  <r>
    <s v="https://projects.propublica.org/nonprofits/organizations/202055555/201913199349102151/IRS990PF"/>
    <s v="Hughes Family Foundation_State Policy Network20185000"/>
    <x v="471"/>
    <x v="103"/>
    <x v="0"/>
    <n v="5000"/>
    <x v="2"/>
    <s v="added"/>
    <m/>
  </r>
  <r>
    <s v="https://projects.propublica.org/nonprofits/organizations/202055555/201813199349102446/IRS990PF"/>
    <s v="Hughes Family Foundation_State Policy Network20175000"/>
    <x v="472"/>
    <x v="103"/>
    <x v="0"/>
    <n v="5000"/>
    <x v="3"/>
    <s v="added"/>
    <m/>
  </r>
  <r>
    <s v="https://projects.propublica.org/nonprofits/redirect_to_990/202055555/2012"/>
    <s v="Hughes Family Foundation_State Policy Network20121000"/>
    <x v="473"/>
    <x v="103"/>
    <x v="0"/>
    <n v="1000"/>
    <x v="8"/>
    <s v="added"/>
    <m/>
  </r>
  <r>
    <s v="CT2017"/>
    <s v="Institute for Humane Studies_State Policy Network201360133"/>
    <x v="474"/>
    <x v="104"/>
    <x v="0"/>
    <n v="60133"/>
    <x v="7"/>
    <m/>
    <m/>
  </r>
  <r>
    <s v="CT2017"/>
    <s v="Institute for Humane Studies_State Policy Network200934618"/>
    <x v="475"/>
    <x v="104"/>
    <x v="0"/>
    <n v="34618"/>
    <x v="11"/>
    <m/>
    <m/>
  </r>
  <r>
    <n v="990"/>
    <s v="Institute for Justice_State Policy Network202220000"/>
    <x v="476"/>
    <x v="105"/>
    <x v="0"/>
    <n v="20000"/>
    <x v="0"/>
    <s v="added"/>
    <m/>
  </r>
  <r>
    <n v="990"/>
    <s v="Institute for Justice_State Policy Network202120000"/>
    <x v="477"/>
    <x v="105"/>
    <x v="0"/>
    <n v="20000"/>
    <x v="18"/>
    <s v="added"/>
    <m/>
  </r>
  <r>
    <n v="990"/>
    <s v="Institute for Justice_State Policy Network202020000"/>
    <x v="478"/>
    <x v="105"/>
    <x v="0"/>
    <n v="20000"/>
    <x v="19"/>
    <s v="added"/>
    <m/>
  </r>
  <r>
    <n v="990"/>
    <s v="Institute for Justice_State Policy Network201920000"/>
    <x v="479"/>
    <x v="105"/>
    <x v="0"/>
    <n v="20000"/>
    <x v="1"/>
    <s v="added"/>
    <m/>
  </r>
  <r>
    <n v="990"/>
    <s v="Institute for Justice_State Policy Network201830000"/>
    <x v="480"/>
    <x v="105"/>
    <x v="0"/>
    <n v="30000"/>
    <x v="2"/>
    <s v="added"/>
    <m/>
  </r>
  <r>
    <s v="https://projects.propublica.org/nonprofits/organizations/136098364/202133199349105713/IRS990PF"/>
    <s v="Irving Rothlein Foundation_State Policy Network2020100"/>
    <x v="481"/>
    <x v="106"/>
    <x v="0"/>
    <n v="100"/>
    <x v="19"/>
    <s v="added"/>
    <m/>
  </r>
  <r>
    <n v="990"/>
    <s v="J P Humphreys Foundation_State Policy Network202150000"/>
    <x v="482"/>
    <x v="107"/>
    <x v="0"/>
    <n v="50000"/>
    <x v="18"/>
    <s v="added"/>
    <m/>
  </r>
  <r>
    <n v="990"/>
    <s v="J P Humphreys Foundation_State Policy Network202050000"/>
    <x v="483"/>
    <x v="107"/>
    <x v="0"/>
    <n v="50000"/>
    <x v="19"/>
    <s v="added"/>
    <m/>
  </r>
  <r>
    <n v="990"/>
    <s v="J P Humphreys Foundation_State Policy Network201950000"/>
    <x v="484"/>
    <x v="107"/>
    <x v="0"/>
    <n v="50000"/>
    <x v="1"/>
    <s v="added"/>
    <m/>
  </r>
  <r>
    <n v="990"/>
    <s v="J P Humphreys Foundation_State Policy Network201850000"/>
    <x v="485"/>
    <x v="107"/>
    <x v="0"/>
    <n v="50000"/>
    <x v="2"/>
    <s v="added"/>
    <m/>
  </r>
  <r>
    <n v="990"/>
    <s v="J P Humphreys Foundation_State Policy Network201750000"/>
    <x v="486"/>
    <x v="107"/>
    <x v="0"/>
    <n v="50000"/>
    <x v="3"/>
    <s v="added"/>
    <m/>
  </r>
  <r>
    <n v="990"/>
    <s v="J P Humphreys Foundation_State Policy Network201650000"/>
    <x v="487"/>
    <x v="107"/>
    <x v="0"/>
    <n v="50000"/>
    <x v="4"/>
    <s v="added"/>
    <m/>
  </r>
  <r>
    <n v="990"/>
    <s v="J P Humphreys Foundation_State Policy Network201550000"/>
    <x v="488"/>
    <x v="107"/>
    <x v="0"/>
    <n v="50000"/>
    <x v="5"/>
    <s v="added"/>
    <m/>
  </r>
  <r>
    <n v="990"/>
    <s v="J P Humphreys Foundation_State Policy Network201450000"/>
    <x v="489"/>
    <x v="107"/>
    <x v="0"/>
    <n v="50000"/>
    <x v="6"/>
    <s v="added"/>
    <m/>
  </r>
  <r>
    <n v="990"/>
    <s v="J P Humphreys Foundation_State Policy Network201350000"/>
    <x v="490"/>
    <x v="107"/>
    <x v="0"/>
    <n v="50000"/>
    <x v="7"/>
    <s v="added"/>
    <m/>
  </r>
  <r>
    <n v="990"/>
    <s v="J P Humphreys Foundation_State Policy Network201110000"/>
    <x v="491"/>
    <x v="107"/>
    <x v="0"/>
    <n v="10000"/>
    <x v="9"/>
    <s v="added"/>
    <m/>
  </r>
  <r>
    <n v="990"/>
    <s v="J P Humphreys Foundation_State Policy Network20105000"/>
    <x v="492"/>
    <x v="107"/>
    <x v="0"/>
    <n v="5000"/>
    <x v="10"/>
    <s v="added"/>
    <m/>
  </r>
  <r>
    <n v="990"/>
    <s v="J P Humphreys Foundation_State Policy Network20095000"/>
    <x v="493"/>
    <x v="107"/>
    <x v="0"/>
    <n v="5000"/>
    <x v="11"/>
    <s v="added"/>
    <m/>
  </r>
  <r>
    <n v="990"/>
    <s v="J P Humphreys Foundation_State Policy Network20075000"/>
    <x v="494"/>
    <x v="107"/>
    <x v="0"/>
    <n v="5000"/>
    <x v="13"/>
    <s v="added"/>
    <m/>
  </r>
  <r>
    <n v="990"/>
    <s v="J P Humphreys Foundation_State Policy Network20065000"/>
    <x v="495"/>
    <x v="107"/>
    <x v="0"/>
    <n v="5000"/>
    <x v="14"/>
    <s v="added"/>
    <m/>
  </r>
  <r>
    <n v="990"/>
    <s v="J P Humphreys Foundation_State Policy Network20045000"/>
    <x v="496"/>
    <x v="107"/>
    <x v="0"/>
    <n v="5000"/>
    <x v="16"/>
    <s v="added"/>
    <m/>
  </r>
  <r>
    <n v="990"/>
    <s v="J P Humphreys Foundation_State Policy Network20025000"/>
    <x v="497"/>
    <x v="107"/>
    <x v="0"/>
    <n v="5000"/>
    <x v="22"/>
    <s v="added"/>
    <m/>
  </r>
  <r>
    <n v="990"/>
    <s v="J P Humphreys Foundation_State Policy Network20015000"/>
    <x v="498"/>
    <x v="107"/>
    <x v="0"/>
    <n v="5000"/>
    <x v="20"/>
    <s v="added"/>
    <m/>
  </r>
  <r>
    <s v="https://projects.propublica.org/nonprofits/organizations/591004904/201601309349101570/IRS990PF"/>
    <s v="J W Schippmann Foundation_State Policy Network2015500"/>
    <x v="499"/>
    <x v="108"/>
    <x v="0"/>
    <n v="500"/>
    <x v="5"/>
    <s v="added"/>
    <m/>
  </r>
  <r>
    <s v="https://projects.propublica.org/nonprofits/organizations/264689640/202112539349100616/IRS990PF"/>
    <s v="James E and Edith Margaret Brandon Foundation_State Policy Network20201000"/>
    <x v="500"/>
    <x v="109"/>
    <x v="0"/>
    <n v="1000"/>
    <x v="19"/>
    <s v="added"/>
    <m/>
  </r>
  <r>
    <s v="https://projects.propublica.org/nonprofits/organizations/264689640/201832329349100303/IRS990PF"/>
    <s v="James E and Edith Margaret Brandon Foundation_State Policy Network2017250"/>
    <x v="501"/>
    <x v="109"/>
    <x v="0"/>
    <n v="250"/>
    <x v="3"/>
    <s v="added"/>
    <m/>
  </r>
  <r>
    <s v="https://projects.propublica.org/nonprofits/organizations/264689640/201701679349100605/IRS990PF"/>
    <s v="James E and Edith Margaret Brandon Foundation_State Policy Network20161000"/>
    <x v="502"/>
    <x v="109"/>
    <x v="0"/>
    <n v="1000"/>
    <x v="4"/>
    <s v="added"/>
    <m/>
  </r>
  <r>
    <s v="https://projects.propublica.org/nonprofits/organizations/264689640/201631379349101818/IRS990PF"/>
    <s v="James E and Edith Margaret Brandon Foundation_State Policy Network2015100"/>
    <x v="503"/>
    <x v="109"/>
    <x v="0"/>
    <n v="100"/>
    <x v="5"/>
    <s v="added"/>
    <m/>
  </r>
  <r>
    <n v="990"/>
    <s v="James F Causley Jr Family Foundation_State Policy Network201512000"/>
    <x v="504"/>
    <x v="110"/>
    <x v="0"/>
    <n v="12000"/>
    <x v="5"/>
    <s v="added"/>
    <m/>
  </r>
  <r>
    <n v="990"/>
    <s v="James F Causley Jr Family Foundation_State Policy Network20145000"/>
    <x v="505"/>
    <x v="110"/>
    <x v="0"/>
    <n v="5000"/>
    <x v="6"/>
    <s v="added"/>
    <m/>
  </r>
  <r>
    <n v="990"/>
    <s v="James F Causley Jr Family Foundation_State Policy Network20132000"/>
    <x v="506"/>
    <x v="110"/>
    <x v="0"/>
    <n v="2000"/>
    <x v="7"/>
    <s v="added"/>
    <m/>
  </r>
  <r>
    <n v="990"/>
    <s v="Jaquelin Hume Foundation_State Policy Network201350000"/>
    <x v="507"/>
    <x v="111"/>
    <x v="0"/>
    <n v="50000"/>
    <x v="7"/>
    <s v="verified"/>
    <m/>
  </r>
  <r>
    <s v="CT2017"/>
    <s v="Jaquelin Hume Foundation_State Policy Network201275000"/>
    <x v="508"/>
    <x v="111"/>
    <x v="0"/>
    <n v="75000"/>
    <x v="8"/>
    <m/>
    <m/>
  </r>
  <r>
    <s v="CT2016"/>
    <s v="Jaquelin Hume Foundation_State Policy Network2011100000"/>
    <x v="509"/>
    <x v="111"/>
    <x v="0"/>
    <n v="100000"/>
    <x v="9"/>
    <m/>
    <m/>
  </r>
  <r>
    <s v="CT2016"/>
    <s v="Jaquelin Hume Foundation_State Policy Network2010100000"/>
    <x v="510"/>
    <x v="111"/>
    <x v="0"/>
    <n v="100000"/>
    <x v="10"/>
    <m/>
    <m/>
  </r>
  <r>
    <s v="CT2016"/>
    <s v="Jaquelin Hume Foundation_State Policy Network200975000"/>
    <x v="511"/>
    <x v="111"/>
    <x v="0"/>
    <n v="75000"/>
    <x v="11"/>
    <m/>
    <m/>
  </r>
  <r>
    <s v="CT2016"/>
    <s v="Jaquelin Hume Foundation_State Policy Network200875000"/>
    <x v="512"/>
    <x v="111"/>
    <x v="0"/>
    <n v="75000"/>
    <x v="12"/>
    <m/>
    <m/>
  </r>
  <r>
    <s v="CT2016"/>
    <s v="Jaquelin Hume Foundation_State Policy Network200775000"/>
    <x v="513"/>
    <x v="111"/>
    <x v="0"/>
    <n v="75000"/>
    <x v="13"/>
    <m/>
    <m/>
  </r>
  <r>
    <s v="CT2016"/>
    <s v="Jaquelin Hume Foundation_State Policy Network200675000"/>
    <x v="514"/>
    <x v="111"/>
    <x v="0"/>
    <n v="75000"/>
    <x v="14"/>
    <m/>
    <m/>
  </r>
  <r>
    <s v="CT2016"/>
    <s v="Jaquelin Hume Foundation_State Policy Network200550000"/>
    <x v="515"/>
    <x v="111"/>
    <x v="0"/>
    <n v="50000"/>
    <x v="15"/>
    <m/>
    <m/>
  </r>
  <r>
    <s v="CT2016"/>
    <s v="Jaquelin Hume Foundation_State Policy Network200450000"/>
    <x v="516"/>
    <x v="111"/>
    <x v="0"/>
    <n v="50000"/>
    <x v="16"/>
    <m/>
    <m/>
  </r>
  <r>
    <s v="CT2016"/>
    <s v="Jaquelin Hume Foundation_State Policy Network200350000"/>
    <x v="517"/>
    <x v="111"/>
    <x v="0"/>
    <n v="50000"/>
    <x v="17"/>
    <m/>
    <m/>
  </r>
  <r>
    <s v="CT2016"/>
    <s v="Jaquelin Hume Foundation_State Policy Network200250000"/>
    <x v="518"/>
    <x v="111"/>
    <x v="0"/>
    <n v="50000"/>
    <x v="22"/>
    <m/>
    <m/>
  </r>
  <r>
    <s v="CT2016"/>
    <s v="Jaquelin Hume Foundation_State Policy Network200130000"/>
    <x v="519"/>
    <x v="111"/>
    <x v="0"/>
    <n v="30000"/>
    <x v="20"/>
    <m/>
    <m/>
  </r>
  <r>
    <s v="https://projects.propublica.org/nonprofits/organizations/237174183/201830329349300208/IRS990ScheduleI"/>
    <s v="Jewish Communal Fund_State Policy Network20175200"/>
    <x v="520"/>
    <x v="112"/>
    <x v="0"/>
    <n v="5200"/>
    <x v="3"/>
    <s v="added"/>
    <m/>
  </r>
  <r>
    <s v="https://projects.propublica.org/nonprofits/organizations/237174183/201710279349300016/IRS990ScheduleI"/>
    <s v="Jewish Communal Fund_State Policy Network20165050"/>
    <x v="521"/>
    <x v="112"/>
    <x v="0"/>
    <n v="5050"/>
    <x v="4"/>
    <s v="added"/>
    <m/>
  </r>
  <r>
    <s v="https://projects.propublica.org/nonprofits/organizations/237174183/201510309349300501/IRS990ScheduleI"/>
    <s v="Jewish Communal Fund_State Policy Network201420050"/>
    <x v="522"/>
    <x v="112"/>
    <x v="0"/>
    <n v="20050"/>
    <x v="6"/>
    <s v="added"/>
    <m/>
  </r>
  <r>
    <s v="https://projects.propublica.org/nonprofits/redirect_to_990/237174183/2012"/>
    <s v="Jewish Communal Fund_State Policy Network201210100"/>
    <x v="523"/>
    <x v="112"/>
    <x v="0"/>
    <n v="10100"/>
    <x v="8"/>
    <s v="added"/>
    <m/>
  </r>
  <r>
    <s v="https://projects.propublica.org/nonprofits/redirect_to_990/237174183/2010"/>
    <s v="Jewish Communal Fund_State Policy Network201110136"/>
    <x v="524"/>
    <x v="112"/>
    <x v="0"/>
    <n v="10136"/>
    <x v="9"/>
    <s v="added"/>
    <m/>
  </r>
  <r>
    <s v="https://projects.propublica.org/nonprofits/redirect_to_990/237174183/2010"/>
    <s v="Jewish Communal Fund_State Policy Network20105100"/>
    <x v="525"/>
    <x v="112"/>
    <x v="0"/>
    <n v="5100"/>
    <x v="10"/>
    <s v="added"/>
    <m/>
  </r>
  <r>
    <n v="990"/>
    <s v="Jim Hicks Family Foundation_State Policy Network20183000"/>
    <x v="526"/>
    <x v="113"/>
    <x v="0"/>
    <n v="3000"/>
    <x v="2"/>
    <s v="added"/>
    <m/>
  </r>
  <r>
    <n v="990"/>
    <s v="Jim Hicks Family Foundation_State Policy Network20172500"/>
    <x v="527"/>
    <x v="113"/>
    <x v="0"/>
    <n v="2500"/>
    <x v="3"/>
    <s v="added"/>
    <m/>
  </r>
  <r>
    <n v="990"/>
    <s v="JM Foundation_State Policy Network2013100000"/>
    <x v="528"/>
    <x v="114"/>
    <x v="0"/>
    <n v="100000"/>
    <x v="7"/>
    <s v="added"/>
    <m/>
  </r>
  <r>
    <s v="CT2017"/>
    <s v="JM Foundation_State Policy Network2012100000"/>
    <x v="529"/>
    <x v="114"/>
    <x v="0"/>
    <n v="100000"/>
    <x v="8"/>
    <s v="verified"/>
    <m/>
  </r>
  <r>
    <s v="CT2017"/>
    <s v="JM Foundation_State Policy Network201175000"/>
    <x v="530"/>
    <x v="114"/>
    <x v="0"/>
    <n v="75000"/>
    <x v="9"/>
    <s v="verified"/>
    <m/>
  </r>
  <r>
    <s v="CT2017"/>
    <s v="JM Foundation_State Policy Network201075000"/>
    <x v="531"/>
    <x v="114"/>
    <x v="0"/>
    <n v="75000"/>
    <x v="10"/>
    <s v="verified"/>
    <m/>
  </r>
  <r>
    <s v="CT2017"/>
    <s v="JM Foundation_State Policy Network200975000"/>
    <x v="532"/>
    <x v="114"/>
    <x v="0"/>
    <n v="75000"/>
    <x v="11"/>
    <s v="verified"/>
    <m/>
  </r>
  <r>
    <s v="CT2016"/>
    <s v="JM Foundation_State Policy Network200875000"/>
    <x v="533"/>
    <x v="114"/>
    <x v="0"/>
    <n v="75000"/>
    <x v="12"/>
    <s v="verified"/>
    <m/>
  </r>
  <r>
    <s v="CT2016"/>
    <s v="JM Foundation_State Policy Network200775000"/>
    <x v="534"/>
    <x v="114"/>
    <x v="0"/>
    <n v="75000"/>
    <x v="13"/>
    <s v="verified"/>
    <m/>
  </r>
  <r>
    <s v="CT2016"/>
    <s v="JM Foundation_State Policy Network200675000"/>
    <x v="535"/>
    <x v="114"/>
    <x v="0"/>
    <n v="75000"/>
    <x v="14"/>
    <s v="verified"/>
    <m/>
  </r>
  <r>
    <s v="CT2016"/>
    <s v="JM Foundation_State Policy Network200475000"/>
    <x v="536"/>
    <x v="114"/>
    <x v="0"/>
    <n v="75000"/>
    <x v="16"/>
    <s v="verified"/>
    <m/>
  </r>
  <r>
    <s v="CT2016"/>
    <s v="JM Foundation_State Policy Network200350000"/>
    <x v="537"/>
    <x v="114"/>
    <x v="0"/>
    <n v="50000"/>
    <x v="17"/>
    <s v="verified"/>
    <m/>
  </r>
  <r>
    <s v="CT2016"/>
    <s v="JM Foundation_State Policy Network199975000"/>
    <x v="538"/>
    <x v="114"/>
    <x v="0"/>
    <n v="75000"/>
    <x v="23"/>
    <s v="NA"/>
    <m/>
  </r>
  <r>
    <s v="CT2017"/>
    <s v="JM Foundation_State Policy Network199525000"/>
    <x v="539"/>
    <x v="114"/>
    <x v="0"/>
    <n v="25000"/>
    <x v="24"/>
    <s v="NA"/>
    <m/>
  </r>
  <r>
    <s v="CT2017"/>
    <s v="John Dawson Foundation_State Policy Network201025000"/>
    <x v="540"/>
    <x v="115"/>
    <x v="0"/>
    <n v="25000"/>
    <x v="10"/>
    <s v="verified"/>
    <m/>
  </r>
  <r>
    <s v="https://projects.propublica.org/nonprofits/organizations/256019484/202321029349101227/IRS990PF"/>
    <s v="John E &amp; Sue M Jackson Charitable Trust_State Policy Network202210000"/>
    <x v="541"/>
    <x v="116"/>
    <x v="0"/>
    <n v="10000"/>
    <x v="0"/>
    <s v="added"/>
    <m/>
  </r>
  <r>
    <s v="https://projects.propublica.org/nonprofits/organizations/256019484/202241199349100224/IRS990PF"/>
    <s v="John E &amp; Sue M Jackson Charitable Trust_State Policy Network202125000"/>
    <x v="542"/>
    <x v="116"/>
    <x v="0"/>
    <n v="25000"/>
    <x v="18"/>
    <s v="added"/>
    <m/>
  </r>
  <r>
    <s v="https://projects.propublica.org/nonprofits/organizations/256019484/202111269349102311/IRS990PF"/>
    <s v="John E &amp; Sue M Jackson Charitable Trust_State Policy Network202015000"/>
    <x v="543"/>
    <x v="116"/>
    <x v="0"/>
    <n v="15000"/>
    <x v="19"/>
    <s v="added"/>
    <m/>
  </r>
  <r>
    <s v="https://projects.propublica.org/nonprofits/organizations/256019484/202010909349101801/IRS990PF"/>
    <s v="John E &amp; Sue M Jackson Charitable Trust_State Policy Network201915000"/>
    <x v="544"/>
    <x v="116"/>
    <x v="0"/>
    <n v="15000"/>
    <x v="1"/>
    <s v="added"/>
    <m/>
  </r>
  <r>
    <s v="https://projects.propublica.org/nonprofits/organizations/256019484/201941279349101909/IRS990PF"/>
    <s v="John E &amp; Sue M Jackson Charitable Trust_State Policy Network201810000"/>
    <x v="545"/>
    <x v="116"/>
    <x v="0"/>
    <n v="10000"/>
    <x v="2"/>
    <s v="added"/>
    <m/>
  </r>
  <r>
    <s v="https://projects.propublica.org/nonprofits/organizations/256019484/201811879349100621/IRS990PF"/>
    <s v="John E &amp; Sue M Jackson Charitable Trust_State Policy Network20174246"/>
    <x v="546"/>
    <x v="116"/>
    <x v="0"/>
    <n v="4246"/>
    <x v="3"/>
    <s v="added"/>
    <m/>
  </r>
  <r>
    <s v="https://projects.propublica.org/nonprofits/organizations/256019484/201621339349100827/IRS990PF"/>
    <s v="John E &amp; Sue M Jackson Charitable Trust_State Policy Network20154000"/>
    <x v="547"/>
    <x v="116"/>
    <x v="0"/>
    <n v="4000"/>
    <x v="5"/>
    <s v="added"/>
    <m/>
  </r>
  <r>
    <s v="https://projects.propublica.org/nonprofits/organizations/133387874/201823169349100622/IRS990PF"/>
    <s v="John J Creedon Foundation_State Policy Network2017200"/>
    <x v="548"/>
    <x v="117"/>
    <x v="0"/>
    <n v="200"/>
    <x v="3"/>
    <s v="added"/>
    <m/>
  </r>
  <r>
    <s v="https://projects.propublica.org/nonprofits/organizations/133387874/201733069349101128/IRS990PF"/>
    <s v="John J Creedon Foundation_State Policy Network20161500"/>
    <x v="549"/>
    <x v="117"/>
    <x v="0"/>
    <n v="1500"/>
    <x v="4"/>
    <s v="added"/>
    <m/>
  </r>
  <r>
    <s v="https://projects.propublica.org/nonprofits/organizations/133387874/201733429349100403/IRS990PF"/>
    <s v="John J Creedon Foundation_State Policy Network2015300"/>
    <x v="550"/>
    <x v="117"/>
    <x v="0"/>
    <n v="300"/>
    <x v="5"/>
    <s v="added"/>
    <m/>
  </r>
  <r>
    <s v="https://projects.propublica.org/nonprofits/organizations/133387874/201431359349101448/IRS990PF"/>
    <s v="John J Creedon Foundation_State Policy Network2013500"/>
    <x v="551"/>
    <x v="117"/>
    <x v="0"/>
    <n v="500"/>
    <x v="7"/>
    <s v="added"/>
    <m/>
  </r>
  <r>
    <s v="https://projects.propublica.org/nonprofits/redirect_to_990/133387874/2011"/>
    <s v="John J Creedon Foundation_State Policy Network2011100"/>
    <x v="552"/>
    <x v="117"/>
    <x v="0"/>
    <n v="100"/>
    <x v="9"/>
    <s v="added"/>
    <m/>
  </r>
  <r>
    <s v="CT2016"/>
    <s v="John M Olin Foundation_State Policy Network200125000"/>
    <x v="553"/>
    <x v="118"/>
    <x v="0"/>
    <n v="25000"/>
    <x v="20"/>
    <s v="verified"/>
    <m/>
  </r>
  <r>
    <s v="CT2016"/>
    <s v="John M Olin Foundation_State Policy Network200040000"/>
    <x v="554"/>
    <x v="118"/>
    <x v="0"/>
    <n v="40000"/>
    <x v="21"/>
    <s v="NA"/>
    <m/>
  </r>
  <r>
    <s v="CT2016"/>
    <s v="John M Olin Foundation_State Policy Network199640000"/>
    <x v="555"/>
    <x v="118"/>
    <x v="0"/>
    <n v="40000"/>
    <x v="25"/>
    <s v="NA"/>
    <m/>
  </r>
  <r>
    <s v="CT2016"/>
    <s v="John M Olin Foundation_State Policy Network199425000"/>
    <x v="556"/>
    <x v="118"/>
    <x v="0"/>
    <n v="25000"/>
    <x v="26"/>
    <s v="NA"/>
    <m/>
  </r>
  <r>
    <s v="CT2016"/>
    <s v="John M Olin Foundation_State Policy Network199325000"/>
    <x v="557"/>
    <x v="118"/>
    <x v="0"/>
    <n v="25000"/>
    <x v="27"/>
    <s v="NA"/>
    <m/>
  </r>
  <r>
    <n v="990"/>
    <s v="John P and Kathryn G Evans Foundation_State Policy Network20221200"/>
    <x v="558"/>
    <x v="119"/>
    <x v="0"/>
    <n v="1200"/>
    <x v="0"/>
    <s v="added"/>
    <m/>
  </r>
  <r>
    <n v="990"/>
    <s v="John P and Kathryn G Evans Foundation_State Policy Network20211200"/>
    <x v="559"/>
    <x v="119"/>
    <x v="0"/>
    <n v="1200"/>
    <x v="18"/>
    <s v="added"/>
    <m/>
  </r>
  <r>
    <n v="990"/>
    <s v="John P and Kathryn G Evans Foundation_State Policy Network20201200"/>
    <x v="560"/>
    <x v="119"/>
    <x v="0"/>
    <n v="1200"/>
    <x v="19"/>
    <s v="added"/>
    <m/>
  </r>
  <r>
    <n v="990"/>
    <s v="John P and Kathryn G Evans Foundation_State Policy Network20191200"/>
    <x v="561"/>
    <x v="119"/>
    <x v="0"/>
    <n v="1200"/>
    <x v="1"/>
    <s v="added"/>
    <m/>
  </r>
  <r>
    <s v="https://projects.propublica.org/nonprofits/organizations/205919285/201920609349100212/IRS990PF"/>
    <s v="John P and Kathryn G Evans Foundation_State Policy Network20181200"/>
    <x v="562"/>
    <x v="119"/>
    <x v="0"/>
    <n v="1200"/>
    <x v="2"/>
    <s v="added"/>
    <m/>
  </r>
  <r>
    <n v="990"/>
    <s v="John P and Kathryn G Evans Foundation_State Policy Network20171000"/>
    <x v="563"/>
    <x v="119"/>
    <x v="0"/>
    <n v="1000"/>
    <x v="3"/>
    <s v="added"/>
    <m/>
  </r>
  <r>
    <n v="990"/>
    <s v="John P and Kathryn G Evans Foundation_State Policy Network2016750"/>
    <x v="564"/>
    <x v="119"/>
    <x v="0"/>
    <n v="750"/>
    <x v="4"/>
    <s v="added"/>
    <m/>
  </r>
  <r>
    <n v="990"/>
    <s v="John P and Kathryn G Evans Foundation_State Policy Network2015600"/>
    <x v="565"/>
    <x v="119"/>
    <x v="0"/>
    <n v="600"/>
    <x v="5"/>
    <s v="added"/>
    <m/>
  </r>
  <r>
    <n v="990"/>
    <s v="John P and Kathryn G Evans Foundation_State Policy Network2014600"/>
    <x v="566"/>
    <x v="119"/>
    <x v="0"/>
    <n v="600"/>
    <x v="6"/>
    <s v="added"/>
    <m/>
  </r>
  <r>
    <n v="990"/>
    <s v="John P and Kathryn G Evans Foundation_State Policy Network2013500"/>
    <x v="567"/>
    <x v="119"/>
    <x v="0"/>
    <n v="500"/>
    <x v="7"/>
    <s v="added"/>
    <m/>
  </r>
  <r>
    <s v="https://projects.propublica.org/nonprofits/redirect_to_990/383640193/2011"/>
    <s v="John W and Wanda W Wirtz Charitable Foundation_State Policy Network2011400"/>
    <x v="568"/>
    <x v="120"/>
    <x v="0"/>
    <n v="400"/>
    <x v="9"/>
    <s v="added"/>
    <m/>
  </r>
  <r>
    <n v="990"/>
    <s v="John William Pope Foundation_State Policy Network2022150000"/>
    <x v="569"/>
    <x v="121"/>
    <x v="0"/>
    <n v="150000"/>
    <x v="0"/>
    <s v="added"/>
    <m/>
  </r>
  <r>
    <n v="990"/>
    <s v="John William Pope Foundation_State Policy Network2022120000"/>
    <x v="569"/>
    <x v="121"/>
    <x v="0"/>
    <n v="120000"/>
    <x v="0"/>
    <s v="added"/>
    <m/>
  </r>
  <r>
    <n v="990"/>
    <s v="John William Pope Foundation_State Policy Network202160000"/>
    <x v="570"/>
    <x v="121"/>
    <x v="0"/>
    <n v="60000"/>
    <x v="18"/>
    <s v="added"/>
    <m/>
  </r>
  <r>
    <n v="990"/>
    <s v="John William Pope Foundation_State Policy Network202060000"/>
    <x v="571"/>
    <x v="121"/>
    <x v="0"/>
    <n v="60000"/>
    <x v="19"/>
    <s v="added"/>
    <m/>
  </r>
  <r>
    <s v="CT2017"/>
    <s v="John William Pope Foundation_State Policy Network20131000"/>
    <x v="572"/>
    <x v="121"/>
    <x v="0"/>
    <n v="1000"/>
    <x v="7"/>
    <s v="verified"/>
    <m/>
  </r>
  <r>
    <s v="CT2017"/>
    <s v="John William Pope Foundation_State Policy Network201325000"/>
    <x v="572"/>
    <x v="121"/>
    <x v="0"/>
    <n v="25000"/>
    <x v="7"/>
    <s v="verified"/>
    <m/>
  </r>
  <r>
    <s v="CT2017"/>
    <s v="John William Pope Foundation_State Policy Network201225000"/>
    <x v="573"/>
    <x v="121"/>
    <x v="0"/>
    <n v="25000"/>
    <x v="8"/>
    <s v="verified"/>
    <m/>
  </r>
  <r>
    <s v="CT2017"/>
    <s v="John William Pope Foundation_State Policy Network201125000"/>
    <x v="574"/>
    <x v="121"/>
    <x v="0"/>
    <n v="25000"/>
    <x v="9"/>
    <s v="verified"/>
    <m/>
  </r>
  <r>
    <s v="CT2017"/>
    <s v="John William Pope Foundation_State Policy Network201025000"/>
    <x v="575"/>
    <x v="121"/>
    <x v="0"/>
    <n v="25000"/>
    <x v="10"/>
    <s v="verified"/>
    <m/>
  </r>
  <r>
    <s v="https://projects.propublica.org/nonprofits/redirect_to_990/391582385/2011"/>
    <s v="Keller Family Charitable Trust_State Policy Network2011500"/>
    <x v="576"/>
    <x v="122"/>
    <x v="0"/>
    <n v="500"/>
    <x v="9"/>
    <s v="added"/>
    <m/>
  </r>
  <r>
    <s v="https://projects.propublica.org/nonprofits/organizations/202025122/202311259349101731/IRS990PF"/>
    <s v="Kelly Family Foundation_State Policy Network20221000"/>
    <x v="577"/>
    <x v="123"/>
    <x v="0"/>
    <n v="1000"/>
    <x v="0"/>
    <s v="added"/>
    <m/>
  </r>
  <r>
    <s v="https://projects.propublica.org/nonprofits/organizations/202025122/202201339349103515/IRS990PF"/>
    <s v="Kelly Family Foundation_State Policy Network20211000"/>
    <x v="578"/>
    <x v="123"/>
    <x v="0"/>
    <n v="1000"/>
    <x v="18"/>
    <s v="added"/>
    <m/>
  </r>
  <r>
    <n v="990"/>
    <s v="Ken W Davis Foundation_State Policy Network20229100"/>
    <x v="579"/>
    <x v="124"/>
    <x v="0"/>
    <n v="9100"/>
    <x v="0"/>
    <s v="added"/>
    <m/>
  </r>
  <r>
    <n v="990"/>
    <s v="Ken W Davis Foundation_State Policy Network20215500"/>
    <x v="580"/>
    <x v="124"/>
    <x v="0"/>
    <n v="5500"/>
    <x v="18"/>
    <s v="added"/>
    <m/>
  </r>
  <r>
    <n v="990"/>
    <s v="Ken W Davis Foundation_State Policy Network20207500"/>
    <x v="581"/>
    <x v="124"/>
    <x v="0"/>
    <n v="7500"/>
    <x v="19"/>
    <s v="added"/>
    <m/>
  </r>
  <r>
    <n v="990"/>
    <s v="Ken W Davis Foundation_State Policy Network20195000"/>
    <x v="582"/>
    <x v="124"/>
    <x v="0"/>
    <n v="5000"/>
    <x v="1"/>
    <s v="added"/>
    <m/>
  </r>
  <r>
    <n v="990"/>
    <s v="Ken W Davis Foundation_State Policy Network20185000"/>
    <x v="583"/>
    <x v="124"/>
    <x v="0"/>
    <n v="5000"/>
    <x v="2"/>
    <s v="added"/>
    <m/>
  </r>
  <r>
    <n v="990"/>
    <s v="Ken W Davis Foundation_State Policy Network20173000"/>
    <x v="584"/>
    <x v="124"/>
    <x v="0"/>
    <n v="3000"/>
    <x v="3"/>
    <s v="added"/>
    <m/>
  </r>
  <r>
    <n v="990"/>
    <s v="Ken W Davis Foundation_State Policy Network20165000"/>
    <x v="585"/>
    <x v="124"/>
    <x v="0"/>
    <n v="5000"/>
    <x v="4"/>
    <s v="added"/>
    <m/>
  </r>
  <r>
    <n v="990"/>
    <s v="Ken W Davis Foundation_State Policy Network20157500"/>
    <x v="586"/>
    <x v="124"/>
    <x v="0"/>
    <n v="7500"/>
    <x v="5"/>
    <s v="added"/>
    <m/>
  </r>
  <r>
    <n v="990"/>
    <s v="Ken W Davis Foundation_State Policy Network20147500"/>
    <x v="587"/>
    <x v="124"/>
    <x v="0"/>
    <n v="7500"/>
    <x v="6"/>
    <s v="added"/>
    <m/>
  </r>
  <r>
    <n v="990"/>
    <s v="Ken W Davis Foundation_State Policy Network201310000"/>
    <x v="588"/>
    <x v="124"/>
    <x v="0"/>
    <n v="10000"/>
    <x v="7"/>
    <s v="added"/>
    <m/>
  </r>
  <r>
    <n v="990"/>
    <s v="Ken W Davis Foundation_State Policy Network20128500"/>
    <x v="589"/>
    <x v="124"/>
    <x v="0"/>
    <n v="8500"/>
    <x v="8"/>
    <s v="added"/>
    <m/>
  </r>
  <r>
    <n v="990"/>
    <s v="Ken W Davis Foundation_State Policy Network20117500"/>
    <x v="590"/>
    <x v="124"/>
    <x v="0"/>
    <n v="7500"/>
    <x v="9"/>
    <s v="added"/>
    <m/>
  </r>
  <r>
    <n v="990"/>
    <s v="Ken W Davis Foundation_State Policy Network20101000"/>
    <x v="591"/>
    <x v="124"/>
    <x v="0"/>
    <n v="1000"/>
    <x v="10"/>
    <s v="added"/>
    <m/>
  </r>
  <r>
    <n v="990"/>
    <s v="Kickapoo Springs Foundation_State Policy Network20211500"/>
    <x v="592"/>
    <x v="125"/>
    <x v="0"/>
    <n v="1500"/>
    <x v="18"/>
    <s v="added"/>
    <m/>
  </r>
  <r>
    <n v="990"/>
    <s v="Kickapoo Springs Foundation_State Policy Network20201500"/>
    <x v="593"/>
    <x v="125"/>
    <x v="0"/>
    <n v="1500"/>
    <x v="19"/>
    <s v="added"/>
    <m/>
  </r>
  <r>
    <n v="990"/>
    <s v="Kickapoo Springs Foundation_State Policy Network20191500"/>
    <x v="594"/>
    <x v="125"/>
    <x v="0"/>
    <n v="1500"/>
    <x v="1"/>
    <s v="added"/>
    <m/>
  </r>
  <r>
    <n v="990"/>
    <s v="Kickapoo Springs Foundation_State Policy Network20181500"/>
    <x v="595"/>
    <x v="125"/>
    <x v="0"/>
    <n v="1500"/>
    <x v="2"/>
    <s v="added"/>
    <m/>
  </r>
  <r>
    <n v="990"/>
    <s v="Kickapoo Springs Foundation_State Policy Network20171500"/>
    <x v="596"/>
    <x v="125"/>
    <x v="0"/>
    <n v="1500"/>
    <x v="3"/>
    <s v="added"/>
    <m/>
  </r>
  <r>
    <n v="990"/>
    <s v="Kickapoo Springs Foundation_State Policy Network20161500"/>
    <x v="597"/>
    <x v="125"/>
    <x v="0"/>
    <n v="1500"/>
    <x v="4"/>
    <s v="added"/>
    <m/>
  </r>
  <r>
    <n v="990"/>
    <s v="Kickapoo Springs Foundation_State Policy Network20151500"/>
    <x v="598"/>
    <x v="125"/>
    <x v="0"/>
    <n v="1500"/>
    <x v="5"/>
    <s v="added"/>
    <m/>
  </r>
  <r>
    <n v="990"/>
    <s v="Kickapoo Springs Foundation_State Policy Network20141000"/>
    <x v="599"/>
    <x v="125"/>
    <x v="0"/>
    <n v="1000"/>
    <x v="6"/>
    <s v="added"/>
    <m/>
  </r>
  <r>
    <n v="990"/>
    <s v="Kickapoo Springs Foundation_State Policy Network20131000"/>
    <x v="600"/>
    <x v="125"/>
    <x v="0"/>
    <n v="1000"/>
    <x v="7"/>
    <s v="added"/>
    <m/>
  </r>
  <r>
    <n v="990"/>
    <s v="Kickapoo Springs Foundation_State Policy Network20121000"/>
    <x v="601"/>
    <x v="125"/>
    <x v="0"/>
    <n v="1000"/>
    <x v="8"/>
    <s v="added"/>
    <m/>
  </r>
  <r>
    <n v="990"/>
    <s v="Kickapoo Springs Foundation_State Policy Network20111000"/>
    <x v="602"/>
    <x v="125"/>
    <x v="0"/>
    <n v="1000"/>
    <x v="9"/>
    <s v="added"/>
    <m/>
  </r>
  <r>
    <n v="990"/>
    <s v="Kickapoo Springs Foundation_State Policy Network20101000"/>
    <x v="603"/>
    <x v="125"/>
    <x v="0"/>
    <n v="1000"/>
    <x v="10"/>
    <s v="added"/>
    <m/>
  </r>
  <r>
    <s v="https://projects.propublica.org/nonprofits/organizations/363807993/202202369349100310/IRS990PF"/>
    <s v="Krasberg Mason Foundation_State Policy Network20215000"/>
    <x v="604"/>
    <x v="126"/>
    <x v="0"/>
    <n v="5000"/>
    <x v="18"/>
    <s v="added"/>
    <m/>
  </r>
  <r>
    <s v="https://projects.propublica.org/nonprofits/display_990/363807993/07_2018_prefixes_35-37%2F363807993_201712_990PF_2018070315490883"/>
    <s v="Krasberg Mason Foundation_State Policy Network20171000"/>
    <x v="605"/>
    <x v="126"/>
    <x v="0"/>
    <n v="1000"/>
    <x v="3"/>
    <s v="added"/>
    <m/>
  </r>
  <r>
    <n v="990"/>
    <s v="Krieble Foundation_State Policy Network20075000"/>
    <x v="606"/>
    <x v="127"/>
    <x v="0"/>
    <n v="5000"/>
    <x v="13"/>
    <s v="added"/>
    <m/>
  </r>
  <r>
    <s v="https://projects.propublica.org/nonprofits/organizations/116038035/201803209349100900/IRS990PF"/>
    <s v="L &amp; J Goldrich Foundation_State Policy Network2017100"/>
    <x v="607"/>
    <x v="128"/>
    <x v="0"/>
    <n v="100"/>
    <x v="3"/>
    <s v="added"/>
    <m/>
  </r>
  <r>
    <s v="https://projects.propublica.org/nonprofits/organizations/116038035/201612179349100211/IRS990PF"/>
    <s v="L &amp; J Goldrich Foundation_State Policy Network2015100"/>
    <x v="608"/>
    <x v="128"/>
    <x v="0"/>
    <n v="100"/>
    <x v="5"/>
    <s v="added"/>
    <m/>
  </r>
  <r>
    <s v="https://projects.propublica.org/nonprofits/redirect_to_990/43371173/2012"/>
    <s v="Lauring Charitable Foundation_State Policy Network2012100"/>
    <x v="609"/>
    <x v="129"/>
    <x v="0"/>
    <n v="100"/>
    <x v="8"/>
    <s v="added"/>
    <m/>
  </r>
  <r>
    <s v="https://projects.propublica.org/nonprofits/redirect_to_990/43371173/2011"/>
    <s v="Lauring Charitable Foundation_State Policy Network2011250"/>
    <x v="610"/>
    <x v="129"/>
    <x v="0"/>
    <n v="250"/>
    <x v="9"/>
    <s v="added"/>
    <m/>
  </r>
  <r>
    <s v="https://projects.propublica.org/nonprofits/redirect_to_990/43371173/2010"/>
    <s v="Lauring Charitable Foundation_State Policy Network2010250"/>
    <x v="611"/>
    <x v="129"/>
    <x v="0"/>
    <n v="250"/>
    <x v="10"/>
    <s v="added"/>
    <m/>
  </r>
  <r>
    <s v="https://projects.propublica.org/nonprofits/organizations/954442473/201742489349100159/IRS990PF"/>
    <s v="Lawrence and Sandra Post Family Foundation_State Policy Network2016100"/>
    <x v="612"/>
    <x v="130"/>
    <x v="0"/>
    <n v="100"/>
    <x v="4"/>
    <s v="added"/>
    <m/>
  </r>
  <r>
    <n v="990"/>
    <s v="Legett Foundation_State Policy Network20211500"/>
    <x v="613"/>
    <x v="131"/>
    <x v="0"/>
    <n v="1500"/>
    <x v="18"/>
    <s v="added"/>
    <m/>
  </r>
  <r>
    <n v="990"/>
    <s v="Legett Foundation_State Policy Network20201500"/>
    <x v="614"/>
    <x v="131"/>
    <x v="0"/>
    <n v="1500"/>
    <x v="19"/>
    <s v="added"/>
    <m/>
  </r>
  <r>
    <n v="990"/>
    <s v="Legett Foundation_State Policy Network20191500"/>
    <x v="615"/>
    <x v="131"/>
    <x v="0"/>
    <n v="1500"/>
    <x v="1"/>
    <s v="added"/>
    <m/>
  </r>
  <r>
    <n v="990"/>
    <s v="Legett Foundation_State Policy Network20181500"/>
    <x v="616"/>
    <x v="131"/>
    <x v="0"/>
    <n v="1500"/>
    <x v="2"/>
    <s v="added"/>
    <m/>
  </r>
  <r>
    <n v="990"/>
    <s v="Legett Foundation_State Policy Network20171500"/>
    <x v="617"/>
    <x v="131"/>
    <x v="0"/>
    <n v="1500"/>
    <x v="3"/>
    <s v="added"/>
    <m/>
  </r>
  <r>
    <n v="990"/>
    <s v="Legett Foundation_State Policy Network20161500"/>
    <x v="618"/>
    <x v="131"/>
    <x v="0"/>
    <n v="1500"/>
    <x v="4"/>
    <s v="added"/>
    <m/>
  </r>
  <r>
    <n v="990"/>
    <s v="Legett Foundation_State Policy Network20151500"/>
    <x v="619"/>
    <x v="131"/>
    <x v="0"/>
    <n v="1500"/>
    <x v="5"/>
    <s v="added"/>
    <m/>
  </r>
  <r>
    <n v="990"/>
    <s v="Legett Foundation_State Policy Network20141000"/>
    <x v="620"/>
    <x v="131"/>
    <x v="0"/>
    <n v="1000"/>
    <x v="6"/>
    <s v="added"/>
    <m/>
  </r>
  <r>
    <n v="990"/>
    <s v="Legett Foundation_State Policy Network20131000"/>
    <x v="621"/>
    <x v="131"/>
    <x v="0"/>
    <n v="1000"/>
    <x v="7"/>
    <s v="added"/>
    <m/>
  </r>
  <r>
    <n v="990"/>
    <s v="Legett Foundation_State Policy Network20121000"/>
    <x v="622"/>
    <x v="131"/>
    <x v="0"/>
    <n v="1000"/>
    <x v="8"/>
    <s v="added"/>
    <m/>
  </r>
  <r>
    <n v="990"/>
    <s v="Legett Foundation_State Policy Network20111000"/>
    <x v="623"/>
    <x v="131"/>
    <x v="0"/>
    <n v="1000"/>
    <x v="9"/>
    <s v="added"/>
    <m/>
  </r>
  <r>
    <n v="990"/>
    <s v="Legett Foundation_State Policy Network20101000"/>
    <x v="624"/>
    <x v="131"/>
    <x v="0"/>
    <n v="1000"/>
    <x v="10"/>
    <s v="added"/>
    <m/>
  </r>
  <r>
    <s v="https://projects.propublica.org/nonprofits/organizations/341894055/202341299349104429/IRS990PF"/>
    <s v="Leonard and Joan Horvitz Foundation_State Policy Network20222500"/>
    <x v="625"/>
    <x v="132"/>
    <x v="0"/>
    <n v="2500"/>
    <x v="0"/>
    <s v="added"/>
    <m/>
  </r>
  <r>
    <s v="https://projects.propublica.org/nonprofits/organizations/341894055/202341299349104429/IRS990PF"/>
    <s v="Leonard and Joan Horvitz Foundation_State Policy Network20222500"/>
    <x v="625"/>
    <x v="132"/>
    <x v="0"/>
    <n v="2500"/>
    <x v="0"/>
    <s v="added"/>
    <m/>
  </r>
  <r>
    <s v="https://projects.propublica.org/nonprofits/organizations/363728178/201621379349102302/IRS990PF"/>
    <s v="Loren A Jahn Private Charitable_State Policy Network201525000"/>
    <x v="626"/>
    <x v="133"/>
    <x v="0"/>
    <n v="25000"/>
    <x v="5"/>
    <s v="added"/>
    <m/>
  </r>
  <r>
    <s v="https://projects.propublica.org/nonprofits/organizations/363728178/201521329349102957/IRS990PF"/>
    <s v="Loren A Jahn Private Charitable_State Policy Network20145000"/>
    <x v="627"/>
    <x v="133"/>
    <x v="0"/>
    <n v="5000"/>
    <x v="6"/>
    <s v="added"/>
    <m/>
  </r>
  <r>
    <n v="990"/>
    <s v="Lovett and Ruth Peters Foundation_State Policy Network202110000"/>
    <x v="628"/>
    <x v="134"/>
    <x v="0"/>
    <n v="10000"/>
    <x v="18"/>
    <s v="added"/>
    <m/>
  </r>
  <r>
    <n v="990"/>
    <s v="Lovett and Ruth Peters Foundation_State Policy Network202010000"/>
    <x v="629"/>
    <x v="134"/>
    <x v="0"/>
    <n v="10000"/>
    <x v="19"/>
    <s v="added"/>
    <m/>
  </r>
  <r>
    <n v="990"/>
    <s v="Lovett and Ruth Peters Foundation_State Policy Network201910000"/>
    <x v="630"/>
    <x v="134"/>
    <x v="0"/>
    <n v="10000"/>
    <x v="1"/>
    <s v="added"/>
    <m/>
  </r>
  <r>
    <n v="990"/>
    <s v="Lovett and Ruth Peters Foundation_State Policy Network201810000"/>
    <x v="631"/>
    <x v="134"/>
    <x v="0"/>
    <n v="10000"/>
    <x v="2"/>
    <s v="added"/>
    <m/>
  </r>
  <r>
    <n v="990"/>
    <s v="Lovett and Ruth Peters Foundation_State Policy Network201610000"/>
    <x v="632"/>
    <x v="134"/>
    <x v="0"/>
    <n v="10000"/>
    <x v="4"/>
    <s v="added"/>
    <m/>
  </r>
  <r>
    <n v="990"/>
    <s v="Lovett and Ruth Peters Foundation_State Policy Network201510000"/>
    <x v="633"/>
    <x v="134"/>
    <x v="0"/>
    <n v="10000"/>
    <x v="5"/>
    <s v="added"/>
    <m/>
  </r>
  <r>
    <n v="990"/>
    <s v="Lovett and Ruth Peters Foundation_State Policy Network201410000"/>
    <x v="634"/>
    <x v="134"/>
    <x v="0"/>
    <n v="10000"/>
    <x v="6"/>
    <s v="added"/>
    <m/>
  </r>
  <r>
    <n v="990"/>
    <s v="Lovett and Ruth Peters Foundation_State Policy Network201310000"/>
    <x v="635"/>
    <x v="134"/>
    <x v="0"/>
    <n v="10000"/>
    <x v="7"/>
    <s v="added"/>
    <m/>
  </r>
  <r>
    <s v="CT2017"/>
    <s v="Lovett and Ruth Peters Foundation_State Policy Network201212500"/>
    <x v="636"/>
    <x v="134"/>
    <x v="0"/>
    <n v="12500"/>
    <x v="8"/>
    <m/>
    <m/>
  </r>
  <r>
    <s v="CT2017"/>
    <s v="Lovett and Ruth Peters Foundation_State Policy Network201110000"/>
    <x v="637"/>
    <x v="134"/>
    <x v="0"/>
    <n v="10000"/>
    <x v="9"/>
    <m/>
    <m/>
  </r>
  <r>
    <s v="CT2017"/>
    <s v="Lovett and Ruth Peters Foundation_State Policy Network201035000"/>
    <x v="638"/>
    <x v="134"/>
    <x v="0"/>
    <n v="35000"/>
    <x v="10"/>
    <m/>
    <m/>
  </r>
  <r>
    <s v="CT2017"/>
    <s v="Lovett and Ruth Peters Foundation_State Policy Network200910000"/>
    <x v="639"/>
    <x v="134"/>
    <x v="0"/>
    <n v="10000"/>
    <x v="11"/>
    <m/>
    <m/>
  </r>
  <r>
    <s v="CT2017"/>
    <s v="Lovett and Ruth Peters Foundation_State Policy Network200810000"/>
    <x v="640"/>
    <x v="134"/>
    <x v="0"/>
    <n v="10000"/>
    <x v="12"/>
    <m/>
    <m/>
  </r>
  <r>
    <s v="CT2017"/>
    <s v="Lovett and Ruth Peters Foundation_State Policy Network200710000"/>
    <x v="641"/>
    <x v="134"/>
    <x v="0"/>
    <n v="10000"/>
    <x v="13"/>
    <m/>
    <m/>
  </r>
  <r>
    <s v="CT2017"/>
    <s v="Lovett and Ruth Peters Foundation_State Policy Network200615000"/>
    <x v="642"/>
    <x v="134"/>
    <x v="0"/>
    <n v="15000"/>
    <x v="14"/>
    <m/>
    <m/>
  </r>
  <r>
    <s v="CT2017"/>
    <s v="Lovett and Ruth Peters Foundation_State Policy Network200225000"/>
    <x v="643"/>
    <x v="134"/>
    <x v="0"/>
    <n v="25000"/>
    <x v="22"/>
    <m/>
    <m/>
  </r>
  <r>
    <s v="CT2017"/>
    <s v="Lovett and Ruth Peters Foundation_State Policy Network200125000"/>
    <x v="644"/>
    <x v="134"/>
    <x v="0"/>
    <n v="25000"/>
    <x v="20"/>
    <m/>
    <m/>
  </r>
  <r>
    <n v="990"/>
    <s v="Lovett and Ruth Peters Foundation_State Policy Network200070000"/>
    <x v="645"/>
    <x v="134"/>
    <x v="0"/>
    <n v="70000"/>
    <x v="21"/>
    <s v="added"/>
    <m/>
  </r>
  <r>
    <n v="990"/>
    <s v="Lowndes Foundation_State Policy Network201820000"/>
    <x v="646"/>
    <x v="135"/>
    <x v="0"/>
    <n v="20000"/>
    <x v="2"/>
    <s v="added"/>
    <m/>
  </r>
  <r>
    <n v="990"/>
    <s v="Lowndes Foundation_State Policy Network201620000"/>
    <x v="647"/>
    <x v="135"/>
    <x v="0"/>
    <n v="20000"/>
    <x v="4"/>
    <s v="added"/>
    <m/>
  </r>
  <r>
    <n v="990"/>
    <s v="Lowndes Foundation_State Policy Network201520000"/>
    <x v="648"/>
    <x v="135"/>
    <x v="0"/>
    <n v="20000"/>
    <x v="5"/>
    <s v="added"/>
    <m/>
  </r>
  <r>
    <n v="990"/>
    <s v="Lowndes Foundation_State Policy Network201420000"/>
    <x v="649"/>
    <x v="135"/>
    <x v="0"/>
    <n v="20000"/>
    <x v="6"/>
    <s v="added"/>
    <m/>
  </r>
  <r>
    <n v="990"/>
    <s v="Lowndes Foundation_State Policy Network201320000"/>
    <x v="650"/>
    <x v="135"/>
    <x v="0"/>
    <n v="20000"/>
    <x v="7"/>
    <s v="added"/>
    <m/>
  </r>
  <r>
    <s v="CT2017"/>
    <s v="Lowndes Foundation_State Policy Network201220000"/>
    <x v="651"/>
    <x v="135"/>
    <x v="0"/>
    <n v="20000"/>
    <x v="8"/>
    <s v="verified"/>
    <m/>
  </r>
  <r>
    <s v="CT2017"/>
    <s v="Lowndes Foundation_State Policy Network201120000"/>
    <x v="652"/>
    <x v="135"/>
    <x v="0"/>
    <n v="20000"/>
    <x v="9"/>
    <s v="verified"/>
    <m/>
  </r>
  <r>
    <s v="CT2017"/>
    <s v="Lowndes Foundation_State Policy Network201015000"/>
    <x v="653"/>
    <x v="135"/>
    <x v="0"/>
    <n v="15000"/>
    <x v="10"/>
    <s v="verified"/>
    <m/>
  </r>
  <r>
    <s v="CT2017"/>
    <s v="Lowndes Foundation_State Policy Network200915000"/>
    <x v="654"/>
    <x v="135"/>
    <x v="0"/>
    <n v="15000"/>
    <x v="11"/>
    <s v="verified"/>
    <m/>
  </r>
  <r>
    <s v="CT2017"/>
    <s v="Lowndes Foundation_State Policy Network20085000"/>
    <x v="655"/>
    <x v="135"/>
    <x v="0"/>
    <n v="5000"/>
    <x v="12"/>
    <s v="verified"/>
    <m/>
  </r>
  <r>
    <s v="https://projects.propublica.org/nonprofits/organizations/616554435/202213199349107846/IRS990PF"/>
    <s v="Lozick Family Foundation_State Policy Network202110000"/>
    <x v="656"/>
    <x v="136"/>
    <x v="0"/>
    <n v="10000"/>
    <x v="18"/>
    <s v="added"/>
    <m/>
  </r>
  <r>
    <n v="990"/>
    <s v="Lynde and Harry Bradley Foundation_State Policy Network2021175000"/>
    <x v="657"/>
    <x v="137"/>
    <x v="0"/>
    <n v="175000"/>
    <x v="18"/>
    <s v="added"/>
    <m/>
  </r>
  <r>
    <n v="990"/>
    <s v="Lynde and Harry Bradley Foundation_State Policy Network2020150000"/>
    <x v="658"/>
    <x v="137"/>
    <x v="0"/>
    <n v="150000"/>
    <x v="19"/>
    <s v="added"/>
    <m/>
  </r>
  <r>
    <n v="990"/>
    <s v="Lynde and Harry Bradley Foundation_State Policy Network2019150000"/>
    <x v="659"/>
    <x v="137"/>
    <x v="0"/>
    <n v="150000"/>
    <x v="1"/>
    <s v="added"/>
    <m/>
  </r>
  <r>
    <n v="990"/>
    <s v="Lynde and Harry Bradley Foundation_State Policy Network2019450000"/>
    <x v="659"/>
    <x v="137"/>
    <x v="0"/>
    <n v="450000"/>
    <x v="1"/>
    <s v="added"/>
    <m/>
  </r>
  <r>
    <n v="990"/>
    <s v="Lynde and Harry Bradley Foundation_State Policy Network2018100000"/>
    <x v="660"/>
    <x v="137"/>
    <x v="0"/>
    <n v="100000"/>
    <x v="2"/>
    <s v="added"/>
    <m/>
  </r>
  <r>
    <n v="990"/>
    <s v="Lynde and Harry Bradley Foundation_State Policy Network2018156250"/>
    <x v="660"/>
    <x v="137"/>
    <x v="0"/>
    <n v="156250"/>
    <x v="2"/>
    <s v="added"/>
    <m/>
  </r>
  <r>
    <n v="990"/>
    <s v="Lynde and Harry Bradley Foundation_State Policy Network2018468750"/>
    <x v="660"/>
    <x v="137"/>
    <x v="0"/>
    <n v="468750"/>
    <x v="2"/>
    <s v="added"/>
    <m/>
  </r>
  <r>
    <n v="990"/>
    <s v="Lynde and Harry Bradley Foundation_State Policy Network201750000"/>
    <x v="661"/>
    <x v="137"/>
    <x v="0"/>
    <n v="50000"/>
    <x v="3"/>
    <s v="added"/>
    <m/>
  </r>
  <r>
    <n v="990"/>
    <s v="Lynde and Harry Bradley Foundation_State Policy Network201750000"/>
    <x v="661"/>
    <x v="137"/>
    <x v="0"/>
    <n v="50000"/>
    <x v="3"/>
    <s v="added"/>
    <m/>
  </r>
  <r>
    <n v="990"/>
    <s v="Lynde and Harry Bradley Foundation_State Policy Network201660000"/>
    <x v="662"/>
    <x v="137"/>
    <x v="0"/>
    <n v="60000"/>
    <x v="4"/>
    <s v="added"/>
    <m/>
  </r>
  <r>
    <n v="990"/>
    <s v="Lynde and Harry Bradley Foundation_State Policy Network201550000"/>
    <x v="663"/>
    <x v="137"/>
    <x v="0"/>
    <n v="50000"/>
    <x v="5"/>
    <s v="added"/>
    <m/>
  </r>
  <r>
    <n v="990"/>
    <s v="Lynde and Harry Bradley Foundation_State Policy Network201445000"/>
    <x v="664"/>
    <x v="137"/>
    <x v="0"/>
    <n v="45000"/>
    <x v="6"/>
    <s v="added"/>
    <m/>
  </r>
  <r>
    <s v="CT2017"/>
    <s v="Lynde and Harry Bradley Foundation_State Policy Network201335000"/>
    <x v="665"/>
    <x v="137"/>
    <x v="0"/>
    <n v="35000"/>
    <x v="7"/>
    <s v="verified"/>
    <m/>
  </r>
  <r>
    <s v="CT2017"/>
    <s v="Lynde and Harry Bradley Foundation_State Policy Network201235000"/>
    <x v="666"/>
    <x v="137"/>
    <x v="0"/>
    <n v="35000"/>
    <x v="8"/>
    <s v="verified"/>
    <m/>
  </r>
  <r>
    <s v="CT2017"/>
    <s v="Lynde and Harry Bradley Foundation_State Policy Network20125000"/>
    <x v="666"/>
    <x v="137"/>
    <x v="0"/>
    <n v="5000"/>
    <x v="8"/>
    <s v="verified"/>
    <m/>
  </r>
  <r>
    <s v="CT2017"/>
    <s v="Lynde and Harry Bradley Foundation_State Policy Network20115000"/>
    <x v="667"/>
    <x v="137"/>
    <x v="0"/>
    <n v="5000"/>
    <x v="9"/>
    <s v="verified"/>
    <m/>
  </r>
  <r>
    <s v="CT2017"/>
    <s v="Lynde and Harry Bradley Foundation_State Policy Network20105000"/>
    <x v="668"/>
    <x v="137"/>
    <x v="0"/>
    <n v="5000"/>
    <x v="10"/>
    <s v="modified"/>
    <s v="was split in two donations originally"/>
  </r>
  <r>
    <s v="CT2017"/>
    <s v="Lynde and Harry Bradley Foundation_State Policy Network201025000"/>
    <x v="668"/>
    <x v="137"/>
    <x v="0"/>
    <n v="25000"/>
    <x v="10"/>
    <s v="modified"/>
    <s v="was split in two donations originally"/>
  </r>
  <r>
    <s v="CT2017"/>
    <s v="Lynde and Harry Bradley Foundation_State Policy Network200925000"/>
    <x v="669"/>
    <x v="137"/>
    <x v="0"/>
    <n v="25000"/>
    <x v="11"/>
    <s v="verified"/>
    <m/>
  </r>
  <r>
    <s v="CT2017"/>
    <s v="Lynde and Harry Bradley Foundation_State Policy Network200715000"/>
    <x v="670"/>
    <x v="137"/>
    <x v="0"/>
    <n v="15000"/>
    <x v="13"/>
    <s v="verified"/>
    <m/>
  </r>
  <r>
    <s v="CT2017"/>
    <s v="Lynde and Harry Bradley Foundation_State Policy Network200540000"/>
    <x v="671"/>
    <x v="137"/>
    <x v="0"/>
    <n v="40000"/>
    <x v="15"/>
    <s v="verified"/>
    <m/>
  </r>
  <r>
    <s v="CT2017"/>
    <s v="Lynde and Harry Bradley Foundation_State Policy Network199325000"/>
    <x v="672"/>
    <x v="137"/>
    <x v="0"/>
    <n v="25000"/>
    <x v="27"/>
    <s v="NA"/>
    <m/>
  </r>
  <r>
    <s v="https://projects.propublica.org/nonprofits/organizations/364145290/202211649349100711/IRS990PF"/>
    <s v="Macdougal Family Foundation_State Policy Network20211500"/>
    <x v="673"/>
    <x v="138"/>
    <x v="0"/>
    <n v="1500"/>
    <x v="18"/>
    <s v="added"/>
    <m/>
  </r>
  <r>
    <s v="https://projects.propublica.org/nonprofits/organizations/364145290/202142109349100024/IRS990PF"/>
    <s v="Macdougal Family Foundation_State Policy Network20201000"/>
    <x v="674"/>
    <x v="138"/>
    <x v="0"/>
    <n v="1000"/>
    <x v="19"/>
    <s v="added"/>
    <m/>
  </r>
  <r>
    <s v="https://projects.propublica.org/nonprofits/organizations/364145290/201931289349101283/IRS990PF"/>
    <s v="Macdougal Family Foundation_State Policy Network20181000"/>
    <x v="675"/>
    <x v="138"/>
    <x v="0"/>
    <n v="1000"/>
    <x v="2"/>
    <s v="added"/>
    <m/>
  </r>
  <r>
    <s v="https://projects.propublica.org/nonprofits/organizations/364145290/201811329349100501/IRS990PF"/>
    <s v="Macdougal Family Foundation_State Policy Network20172000"/>
    <x v="676"/>
    <x v="138"/>
    <x v="0"/>
    <n v="2000"/>
    <x v="3"/>
    <s v="added"/>
    <m/>
  </r>
  <r>
    <s v="https://projects.propublica.org/nonprofits/organizations/364145290/201611189349100731/IRS990PF"/>
    <s v="Macdougal Family Foundation_State Policy Network20151000"/>
    <x v="677"/>
    <x v="138"/>
    <x v="0"/>
    <n v="1000"/>
    <x v="5"/>
    <s v="added"/>
    <m/>
  </r>
  <r>
    <s v="https://projects.propublica.org/nonprofits/display_990/364145290/2013_05_PF%2F36-4145290_990PF_201212"/>
    <s v="Macdougal Family Foundation_State Policy Network2012500"/>
    <x v="678"/>
    <x v="138"/>
    <x v="0"/>
    <n v="500"/>
    <x v="8"/>
    <s v="added"/>
    <m/>
  </r>
  <r>
    <s v="https://projects.propublica.org/nonprofits/organizations/10391479/201843179349301014/IRS990ScheduleI"/>
    <s v="Maine Community Foundation_State Policy Network20175000"/>
    <x v="679"/>
    <x v="139"/>
    <x v="0"/>
    <n v="5000"/>
    <x v="3"/>
    <s v="added"/>
    <m/>
  </r>
  <r>
    <s v="https://projects.propublica.org/nonprofits/organizations/10391479/201703139349303255/IRS990ScheduleI"/>
    <s v="Maine Community Foundation_State Policy Network20165000"/>
    <x v="680"/>
    <x v="139"/>
    <x v="0"/>
    <n v="5000"/>
    <x v="4"/>
    <s v="added"/>
    <m/>
  </r>
  <r>
    <s v="https://projects.propublica.org/nonprofits/organizations/10391479/201533209349310418/IRS990ScheduleI"/>
    <s v="Maine Community Foundation_State Policy Network20145000"/>
    <x v="681"/>
    <x v="139"/>
    <x v="0"/>
    <n v="5000"/>
    <x v="6"/>
    <s v="added"/>
    <m/>
  </r>
  <r>
    <s v="https://projects.propublica.org/nonprofits/organizations/10391479/201443219349304279/IRS990ScheduleI"/>
    <s v="Maine Community Foundation_State Policy Network20135250"/>
    <x v="682"/>
    <x v="139"/>
    <x v="0"/>
    <n v="5250"/>
    <x v="7"/>
    <s v="added"/>
    <m/>
  </r>
  <r>
    <s v="https://projects.propublica.org/nonprofits/display_990/10391479/2008_12_EO%2F01-0391479_990_200712"/>
    <s v="Maine Community Foundation_State Policy Network20071000"/>
    <x v="683"/>
    <x v="139"/>
    <x v="0"/>
    <n v="1000"/>
    <x v="13"/>
    <s v="added"/>
    <m/>
  </r>
  <r>
    <s v="https://projects.propublica.org/nonprofits/organizations/470759947/201522239349100102/IRS990PF"/>
    <s v="Marguerite A Scribante Foundation_State Policy Network2014500"/>
    <x v="684"/>
    <x v="140"/>
    <x v="0"/>
    <n v="500"/>
    <x v="6"/>
    <s v="added"/>
    <m/>
  </r>
  <r>
    <s v="https://projects.propublica.org/nonprofits/organizations/326369521/202243069349100429/IRS990PF"/>
    <s v="Mark E &amp; Mary A Davis Foundation_State Policy Network20211500"/>
    <x v="685"/>
    <x v="141"/>
    <x v="0"/>
    <n v="1500"/>
    <x v="18"/>
    <s v="added"/>
    <m/>
  </r>
  <r>
    <s v="https://projects.propublica.org/nonprofits/organizations/326369521/202133129349101043/IRS990PF"/>
    <s v="Mark E &amp; Mary A Davis Foundation_State Policy Network2020500"/>
    <x v="686"/>
    <x v="141"/>
    <x v="0"/>
    <n v="500"/>
    <x v="19"/>
    <s v="added"/>
    <m/>
  </r>
  <r>
    <s v="https://projects.propublica.org/nonprofits/organizations/391419756/202203199349104890/IRS990PF"/>
    <s v="Mcp Charitable Foundation_State Policy Network20222000"/>
    <x v="687"/>
    <x v="142"/>
    <x v="0"/>
    <n v="2000"/>
    <x v="0"/>
    <s v="added"/>
    <m/>
  </r>
  <r>
    <s v="https://projects.propublica.org/nonprofits/organizations/391419756/201913189349101701/IRS990PF"/>
    <s v="Mcp Charitable Foundation_State Policy Network20191000"/>
    <x v="688"/>
    <x v="142"/>
    <x v="0"/>
    <n v="1000"/>
    <x v="1"/>
    <s v="added"/>
    <m/>
  </r>
  <r>
    <s v="https://projects.propublica.org/nonprofits/organizations/391419756/201442559349100609/IRS990PF"/>
    <s v="Mcp Charitable Foundation_State Policy Network2014500"/>
    <x v="689"/>
    <x v="142"/>
    <x v="0"/>
    <n v="500"/>
    <x v="6"/>
    <s v="added"/>
    <m/>
  </r>
  <r>
    <s v="https://projects.propublica.org/nonprofits/organizations/391419756/201333169349100863/IRS990PF"/>
    <s v="Mcp Charitable Foundation_State Policy Network2013"/>
    <x v="690"/>
    <x v="142"/>
    <x v="0"/>
    <m/>
    <x v="7"/>
    <s v="added"/>
    <m/>
  </r>
  <r>
    <n v="990"/>
    <s v="McWethy Foundation_State Policy Network20198000"/>
    <x v="691"/>
    <x v="143"/>
    <x v="0"/>
    <n v="8000"/>
    <x v="1"/>
    <s v="added"/>
    <m/>
  </r>
  <r>
    <s v="https://projects.propublica.org/nonprofits/organizations/396075009/202321359349102692/IRS990PF"/>
    <s v="Melvin S Cohen Foundation_State Policy Network202210000"/>
    <x v="692"/>
    <x v="144"/>
    <x v="0"/>
    <n v="10000"/>
    <x v="0"/>
    <s v="added"/>
    <m/>
  </r>
  <r>
    <s v="https://projects.propublica.org/nonprofits/organizations/396075009/202201369349102060/IRS990PF"/>
    <s v="Melvin S Cohen Foundation_State Policy Network202110000"/>
    <x v="693"/>
    <x v="144"/>
    <x v="0"/>
    <n v="10000"/>
    <x v="18"/>
    <s v="added"/>
    <m/>
  </r>
  <r>
    <s v="https://projects.propublica.org/nonprofits/organizations/396075009/202131349349101203/IRS990PF"/>
    <s v="Melvin S Cohen Foundation_State Policy Network202010000"/>
    <x v="694"/>
    <x v="144"/>
    <x v="0"/>
    <n v="10000"/>
    <x v="19"/>
    <s v="added"/>
    <m/>
  </r>
  <r>
    <n v="990"/>
    <s v="Mercatus Center_State Policy Network20187500"/>
    <x v="695"/>
    <x v="145"/>
    <x v="0"/>
    <n v="7500"/>
    <x v="2"/>
    <s v="added"/>
    <m/>
  </r>
  <r>
    <n v="990"/>
    <s v="Mercer Family Foundation_State Policy Network201450000"/>
    <x v="696"/>
    <x v="146"/>
    <x v="0"/>
    <n v="50000"/>
    <x v="6"/>
    <s v="added"/>
    <m/>
  </r>
  <r>
    <n v="990"/>
    <s v="Mercer Family Foundation_State Policy Network201350000"/>
    <x v="697"/>
    <x v="146"/>
    <x v="0"/>
    <n v="50000"/>
    <x v="7"/>
    <s v="added"/>
    <m/>
  </r>
  <r>
    <s v="https://projects.propublica.org/nonprofits/organizations/115125050/202220569349100202/IRS990PF"/>
    <s v="Milbank Foundation for Rehabilitation_State Policy Network2020125000"/>
    <x v="698"/>
    <x v="147"/>
    <x v="0"/>
    <n v="125000"/>
    <x v="19"/>
    <s v="added"/>
    <m/>
  </r>
  <r>
    <s v="https://projects.propublica.org/nonprofits/display_990/115125050/02_2021_prefixes_11-13%2F115125050_201912_990PF_2021021917722923"/>
    <s v="Milbank Foundation for Rehabilitation_State Policy Network2019125000"/>
    <x v="699"/>
    <x v="147"/>
    <x v="0"/>
    <n v="125000"/>
    <x v="1"/>
    <s v="added"/>
    <m/>
  </r>
  <r>
    <s v="https://projects.propublica.org/nonprofits/display_990/115125050/01_2020_prefixes_06-13%2F115125050_201812_990PF_2020011517034913"/>
    <s v="Milbank Foundation for Rehabilitation_State Policy Network2018125000"/>
    <x v="700"/>
    <x v="147"/>
    <x v="0"/>
    <n v="125000"/>
    <x v="2"/>
    <s v="added"/>
    <m/>
  </r>
  <r>
    <s v="https://projects.propublica.org/nonprofits/organizations/416029402/202140119349300414/IRS990ScheduleI"/>
    <s v="Minneapolis Foundation_State Policy Network20207000"/>
    <x v="701"/>
    <x v="148"/>
    <x v="0"/>
    <n v="7000"/>
    <x v="19"/>
    <s v="added"/>
    <m/>
  </r>
  <r>
    <s v="https://projects.propublica.org/nonprofits/organizations/416029402/202000429349301480/IRS990ScheduleI"/>
    <s v="Minneapolis Foundation_State Policy Network20197200"/>
    <x v="702"/>
    <x v="148"/>
    <x v="0"/>
    <n v="7200"/>
    <x v="1"/>
    <s v="added"/>
    <m/>
  </r>
  <r>
    <s v="https://projects.propublica.org/nonprofits/organizations/416029402/201743529349300019/IRS990ScheduleI"/>
    <s v="Minneapolis Foundation_State Policy Network20175000"/>
    <x v="703"/>
    <x v="148"/>
    <x v="0"/>
    <n v="5000"/>
    <x v="3"/>
    <s v="added"/>
    <m/>
  </r>
  <r>
    <s v="https://projects.propublica.org/nonprofits/organizations/416029402/201603549349300510/IRS990ScheduleI"/>
    <s v="Minneapolis Foundation_State Policy Network20165000"/>
    <x v="704"/>
    <x v="148"/>
    <x v="0"/>
    <n v="5000"/>
    <x v="4"/>
    <s v="added"/>
    <m/>
  </r>
  <r>
    <s v="https://projects.propublica.org/nonprofits/organizations/453630825/202213149349101821/IRS990PF"/>
    <s v="Morse Charitable Foundation_State Policy Network20215000"/>
    <x v="705"/>
    <x v="149"/>
    <x v="0"/>
    <n v="5000"/>
    <x v="18"/>
    <s v="added"/>
    <m/>
  </r>
  <r>
    <s v="https://projects.propublica.org/nonprofits/organizations/453630825/202103169349104100/IRS990PF"/>
    <s v="Morse Charitable Foundation_State Policy Network20205000"/>
    <x v="706"/>
    <x v="149"/>
    <x v="0"/>
    <n v="5000"/>
    <x v="19"/>
    <s v="added"/>
    <m/>
  </r>
  <r>
    <s v="https://projects.propublica.org/nonprofits/organizations/453630825/201903199349103700/IRS990PF"/>
    <s v="Morse Charitable Foundation_State Policy Network20185000"/>
    <x v="707"/>
    <x v="149"/>
    <x v="0"/>
    <n v="5000"/>
    <x v="2"/>
    <s v="added"/>
    <m/>
  </r>
  <r>
    <s v="https://projects.propublica.org/nonprofits/organizations/453630825/201803199349102375/IRS990PF"/>
    <s v="Morse Charitable Foundation_State Policy Network20175000"/>
    <x v="708"/>
    <x v="149"/>
    <x v="0"/>
    <n v="5000"/>
    <x v="3"/>
    <s v="added"/>
    <m/>
  </r>
  <r>
    <s v="https://projects.propublica.org/nonprofits/display_990/453630825/IRS%2F453630825_201612_990PF_2017111714962706"/>
    <s v="Morse Charitable Foundation_State Policy Network201610000"/>
    <x v="709"/>
    <x v="149"/>
    <x v="0"/>
    <n v="10000"/>
    <x v="4"/>
    <s v="added"/>
    <m/>
  </r>
  <r>
    <s v="https://projects.propublica.org/nonprofits/display_990/453630825/2016_11_PF%2F45-3630825_990PF_201512"/>
    <s v="Morse Charitable Foundation_State Policy Network201510000"/>
    <x v="710"/>
    <x v="149"/>
    <x v="0"/>
    <n v="10000"/>
    <x v="5"/>
    <s v="added"/>
    <m/>
  </r>
  <r>
    <s v="https://projects.propublica.org/nonprofits/display_990/453630825/2014_11_PF%2F45-3630825_990PF_201312"/>
    <s v="Morse Charitable Foundation_State Policy Network20135000"/>
    <x v="711"/>
    <x v="149"/>
    <x v="0"/>
    <n v="5000"/>
    <x v="7"/>
    <s v="added"/>
    <m/>
  </r>
  <r>
    <n v="990"/>
    <s v="MyWireless.org_State Policy Network201710000"/>
    <x v="712"/>
    <x v="150"/>
    <x v="0"/>
    <n v="10000"/>
    <x v="3"/>
    <s v="added"/>
    <m/>
  </r>
  <r>
    <n v="990"/>
    <s v="National Center for Housing Management_State Policy Network201910000"/>
    <x v="713"/>
    <x v="151"/>
    <x v="0"/>
    <n v="10000"/>
    <x v="1"/>
    <s v="added"/>
    <m/>
  </r>
  <r>
    <s v="https://projects.propublica.org/nonprofits/organizations/581493949/202203149349303075/IRS990ScheduleI"/>
    <s v="National Christian Charitable Foundation_State Policy Network202177350"/>
    <x v="714"/>
    <x v="152"/>
    <x v="0"/>
    <n v="77350"/>
    <x v="18"/>
    <s v="added"/>
    <m/>
  </r>
  <r>
    <s v="https://projects.propublica.org/nonprofits/organizations/581493949/202123099349300747/IRS990ScheduleI"/>
    <s v="National Christian Charitable Foundation_State Policy Network202039500"/>
    <x v="715"/>
    <x v="152"/>
    <x v="0"/>
    <n v="39500"/>
    <x v="19"/>
    <s v="added"/>
    <m/>
  </r>
  <r>
    <s v="https://projects.propublica.org/nonprofits/organizations/581493949/202023169349303567/IRS990ScheduleI"/>
    <s v="National Christian Charitable Foundation_State Policy Network201967100"/>
    <x v="716"/>
    <x v="152"/>
    <x v="0"/>
    <n v="67100"/>
    <x v="1"/>
    <s v="added"/>
    <m/>
  </r>
  <r>
    <s v="https://projects.propublica.org/nonprofits/organizations/581493949/201943169349302844/IRS990ScheduleI"/>
    <s v="National Christian Charitable Foundation_State Policy Network2018131050"/>
    <x v="717"/>
    <x v="152"/>
    <x v="0"/>
    <n v="131050"/>
    <x v="2"/>
    <s v="added"/>
    <m/>
  </r>
  <r>
    <s v="https://projects.propublica.org/nonprofits/organizations/581493949/201813199349310531/IRS990ScheduleI"/>
    <s v="National Christian Charitable Foundation_State Policy Network201718700"/>
    <x v="718"/>
    <x v="152"/>
    <x v="0"/>
    <n v="18700"/>
    <x v="3"/>
    <s v="added"/>
    <m/>
  </r>
  <r>
    <s v="https://projects.propublica.org/nonprofits/organizations/581493949/201733079349301948/IRS990ScheduleI"/>
    <s v="National Christian Charitable Foundation_State Policy Network201615750"/>
    <x v="719"/>
    <x v="152"/>
    <x v="0"/>
    <n v="15750"/>
    <x v="4"/>
    <s v="added"/>
    <m/>
  </r>
  <r>
    <n v="990"/>
    <s v="National Christian Charitable Foundation_State Policy Network2015300"/>
    <x v="720"/>
    <x v="152"/>
    <x v="0"/>
    <n v="300"/>
    <x v="5"/>
    <s v="added"/>
    <m/>
  </r>
  <r>
    <s v="CT2017"/>
    <s v="National Christian Charitable Foundation_State Policy Network20123500"/>
    <x v="721"/>
    <x v="152"/>
    <x v="0"/>
    <n v="3500"/>
    <x v="8"/>
    <m/>
    <m/>
  </r>
  <r>
    <n v="990"/>
    <s v="National Christian Charitable Foundation_State Policy Network2010100"/>
    <x v="722"/>
    <x v="152"/>
    <x v="0"/>
    <n v="100"/>
    <x v="10"/>
    <s v="added"/>
    <m/>
  </r>
  <r>
    <n v="990"/>
    <s v="National Christian Charitable Foundation_State Policy Network2008300"/>
    <x v="723"/>
    <x v="152"/>
    <x v="0"/>
    <n v="300"/>
    <x v="12"/>
    <s v="added"/>
    <m/>
  </r>
  <r>
    <s v="https://projects.propublica.org/nonprofits/organizations/237825575/202311359349313966/IRS990ScheduleI"/>
    <s v="National Philanthropic Trust_State Policy Network2022103000"/>
    <x v="724"/>
    <x v="153"/>
    <x v="0"/>
    <n v="103000"/>
    <x v="0"/>
    <s v="added"/>
    <m/>
  </r>
  <r>
    <s v="https://projects.propublica.org/nonprofits/organizations/237825575/202231339349309863/IRS990ScheduleI"/>
    <s v="National Philanthropic Trust_State Policy Network2021101500"/>
    <x v="725"/>
    <x v="153"/>
    <x v="0"/>
    <n v="101500"/>
    <x v="18"/>
    <s v="added"/>
    <m/>
  </r>
  <r>
    <s v="https://projects.propublica.org/nonprofits/organizations/237825575/202121459349300307/IRS990ScheduleI"/>
    <s v="National Philanthropic Trust_State Policy Network202070500"/>
    <x v="726"/>
    <x v="153"/>
    <x v="0"/>
    <n v="70500"/>
    <x v="19"/>
    <s v="added"/>
    <m/>
  </r>
  <r>
    <s v="https://projects.propublica.org/nonprofits/organizations/237825575/202011979349306246/IRS990ScheduleI"/>
    <s v="National Philanthropic Trust_State Policy Network201960000"/>
    <x v="727"/>
    <x v="153"/>
    <x v="0"/>
    <n v="60000"/>
    <x v="1"/>
    <s v="added"/>
    <m/>
  </r>
  <r>
    <s v="https://projects.propublica.org/nonprofits/organizations/237825575/201831349349304813/IRS990ScheduleI"/>
    <s v="National Philanthropic Trust_State Policy Network201740000"/>
    <x v="728"/>
    <x v="153"/>
    <x v="0"/>
    <n v="40000"/>
    <x v="3"/>
    <s v="added"/>
    <m/>
  </r>
  <r>
    <s v="https://projects.propublica.org/nonprofits/organizations/530222396/201833189349301723/IRS990ScheduleI"/>
    <s v="Ncta the Internet &amp; Television Association_State Policy Network201715000"/>
    <x v="729"/>
    <x v="154"/>
    <x v="0"/>
    <n v="15000"/>
    <x v="3"/>
    <s v="added"/>
    <m/>
  </r>
  <r>
    <s v="https://projects.propublica.org/nonprofits/organizations/530222396/201623199349302452/IRS990ScheduleI"/>
    <s v="Ncta the Internet &amp; Television Association_State Policy Network201515000"/>
    <x v="730"/>
    <x v="154"/>
    <x v="0"/>
    <n v="15000"/>
    <x v="5"/>
    <s v="added"/>
    <m/>
  </r>
  <r>
    <s v="https://projects.propublica.org/nonprofits/organizations/530222396/201523179349303072/IRS990ScheduleI"/>
    <s v="Ncta the Internet &amp; Television Association_State Policy Network201415000"/>
    <x v="731"/>
    <x v="154"/>
    <x v="0"/>
    <n v="15000"/>
    <x v="6"/>
    <s v="added"/>
    <m/>
  </r>
  <r>
    <s v="https://projects.propublica.org/nonprofits/organizations/530222396/201403149349300645/IRS990ScheduleI"/>
    <s v="Ncta the Internet &amp; Television Association_State Policy Network201315000"/>
    <x v="732"/>
    <x v="154"/>
    <x v="0"/>
    <n v="15000"/>
    <x v="7"/>
    <s v="added"/>
    <m/>
  </r>
  <r>
    <s v="https://projects.propublica.org/nonprofits/redirect_to_990/530222396/2012"/>
    <s v="Ncta the Internet &amp; Television Association_State Policy Network201215000"/>
    <x v="733"/>
    <x v="154"/>
    <x v="0"/>
    <n v="15000"/>
    <x v="8"/>
    <s v="added"/>
    <m/>
  </r>
  <r>
    <s v="https://projects.propublica.org/nonprofits/organizations/266091059/202221369349103597/IRS990PF"/>
    <s v="Neal and Marlene Goldman Foundation_State Policy Network20215000"/>
    <x v="734"/>
    <x v="155"/>
    <x v="0"/>
    <n v="5000"/>
    <x v="18"/>
    <s v="added"/>
    <m/>
  </r>
  <r>
    <s v="https://projects.propublica.org/nonprofits/organizations/421395902/201911409349100416/IRS990PF"/>
    <s v="New Hope Foundation_State Policy Network20181000"/>
    <x v="735"/>
    <x v="156"/>
    <x v="0"/>
    <n v="1000"/>
    <x v="2"/>
    <s v="added"/>
    <m/>
  </r>
  <r>
    <s v="https://projects.propublica.org/nonprofits/display_990/421395902/2013_05_PF%2F42-1395902_990PF_201212"/>
    <s v="New Hope Foundation_State Policy Network20121000"/>
    <x v="736"/>
    <x v="156"/>
    <x v="0"/>
    <n v="1000"/>
    <x v="8"/>
    <s v="added"/>
    <m/>
  </r>
  <r>
    <s v="https://projects.propublica.org/nonprofits/display_990/421395902/2013_08_PF%2F42-1395902_990PF_201112"/>
    <s v="New Hope Foundation_State Policy Network20111000"/>
    <x v="737"/>
    <x v="156"/>
    <x v="0"/>
    <n v="1000"/>
    <x v="9"/>
    <s v="added"/>
    <m/>
  </r>
  <r>
    <s v="https://projects.propublica.org/nonprofits/display_990/421395902/2011_11_PF%2F42-1395902_990PF_201012"/>
    <s v="New Hope Foundation_State Policy Network20101000"/>
    <x v="738"/>
    <x v="156"/>
    <x v="0"/>
    <n v="1000"/>
    <x v="10"/>
    <s v="added"/>
    <m/>
  </r>
  <r>
    <s v="https://projects.propublica.org/nonprofits/display_990/421395902/2010_11_PF%2F42-1395902_990PF_200912"/>
    <s v="New Hope Foundation_State Policy Network20091000"/>
    <x v="739"/>
    <x v="156"/>
    <x v="0"/>
    <n v="1000"/>
    <x v="11"/>
    <s v="added"/>
    <m/>
  </r>
  <r>
    <s v="https://projects.propublica.org/nonprofits/display_990/421395902/2009_11_PF%2F42-1395902_990PF_200812"/>
    <s v="New Hope Foundation_State Policy Network20081000"/>
    <x v="740"/>
    <x v="156"/>
    <x v="0"/>
    <n v="1000"/>
    <x v="12"/>
    <s v="added"/>
    <m/>
  </r>
  <r>
    <s v="https://projects.propublica.org/nonprofits/display_990/421395902/2008_05_PF%2F42-1395902_990PF_200712"/>
    <s v="New Hope Foundation_State Policy Network20072000"/>
    <x v="741"/>
    <x v="156"/>
    <x v="0"/>
    <n v="2000"/>
    <x v="13"/>
    <s v="added"/>
    <m/>
  </r>
  <r>
    <s v="https://projects.propublica.org/nonprofits/display_990/421395902/2007_08_PF%2F42-1395902_990PF_200612"/>
    <s v="New Hope Foundation_State Policy Network20062000"/>
    <x v="742"/>
    <x v="156"/>
    <x v="0"/>
    <n v="2000"/>
    <x v="14"/>
    <s v="added"/>
    <m/>
  </r>
  <r>
    <s v="https://projects.propublica.org/nonprofits/display_990/421395902/2006_11_PF%2F42-1395902_990PF_200512"/>
    <s v="New Hope Foundation_State Policy Network20051000"/>
    <x v="743"/>
    <x v="156"/>
    <x v="0"/>
    <n v="1000"/>
    <x v="15"/>
    <s v="added"/>
    <m/>
  </r>
  <r>
    <s v="https://projects.propublica.org/nonprofits/display_990/421395902/2005_08_PF%2F42-1395902_990PF_200412"/>
    <s v="New Hope Foundation_State Policy Network20041000"/>
    <x v="744"/>
    <x v="156"/>
    <x v="0"/>
    <n v="1000"/>
    <x v="16"/>
    <s v="added"/>
    <m/>
  </r>
  <r>
    <s v="https://projects.propublica.org/nonprofits/display_990/421395902/2004_06_PF%2F42-1395902_990PF_200312"/>
    <s v="New Hope Foundation_State Policy Network20031000"/>
    <x v="745"/>
    <x v="156"/>
    <x v="0"/>
    <n v="1000"/>
    <x v="17"/>
    <s v="added"/>
    <m/>
  </r>
  <r>
    <s v="https://projects.propublica.org/nonprofits/display_990/421395902/2003_05_PF%2F42-1395902_990PF_200212"/>
    <s v="New Hope Foundation_State Policy Network20023000"/>
    <x v="746"/>
    <x v="156"/>
    <x v="0"/>
    <n v="3000"/>
    <x v="22"/>
    <s v="added"/>
    <m/>
  </r>
  <r>
    <s v="https://projects.propublica.org/nonprofits/display_990/421395902/2002_09_PF%2F42-1395902_990PF_200112"/>
    <s v="New Hope Foundation_State Policy Network20013000"/>
    <x v="747"/>
    <x v="156"/>
    <x v="0"/>
    <n v="3000"/>
    <x v="20"/>
    <s v="added"/>
    <m/>
  </r>
  <r>
    <s v="https://projects.propublica.org/nonprofits/organizations/363858426/201810449349100406/IRS990PF"/>
    <s v="Norman I and Sandra Rich Family Charitable Foundation_State Policy Network2017100"/>
    <x v="748"/>
    <x v="157"/>
    <x v="0"/>
    <n v="100"/>
    <x v="3"/>
    <s v="added"/>
    <m/>
  </r>
  <r>
    <s v="https://projects.propublica.org/nonprofits/organizations/330784158/202223069349100632/IRS990PF"/>
    <s v="Oda Family Charitable Foundation_State Policy Network20211000"/>
    <x v="749"/>
    <x v="158"/>
    <x v="0"/>
    <n v="1000"/>
    <x v="18"/>
    <s v="added"/>
    <m/>
  </r>
  <r>
    <s v="https://projects.propublica.org/nonprofits/organizations/472780646/202300629349100430/IRS990PF"/>
    <s v="Offerdahl Family Foundation_State Policy Network202236000"/>
    <x v="750"/>
    <x v="159"/>
    <x v="0"/>
    <n v="36000"/>
    <x v="0"/>
    <s v="added"/>
    <m/>
  </r>
  <r>
    <s v="https://projects.propublica.org/nonprofits/organizations/472780646/202100579349100310/IRS990PF"/>
    <s v="Offerdahl Family Foundation_State Policy Network20205500"/>
    <x v="751"/>
    <x v="159"/>
    <x v="0"/>
    <n v="5500"/>
    <x v="19"/>
    <s v="added"/>
    <m/>
  </r>
  <r>
    <s v="https://projects.propublica.org/nonprofits/organizations/61463304/202023399349100102/IRS990PF"/>
    <s v="Old Stones Foundation_State Policy Network20191000"/>
    <x v="752"/>
    <x v="160"/>
    <x v="0"/>
    <n v="1000"/>
    <x v="1"/>
    <s v="added"/>
    <m/>
  </r>
  <r>
    <s v="https://projects.propublica.org/nonprofits/organizations/454106275/202133159349102303/IRS990PF"/>
    <s v="Oshay Family Foundation_State Policy Network20201000"/>
    <x v="753"/>
    <x v="161"/>
    <x v="0"/>
    <n v="1000"/>
    <x v="19"/>
    <s v="added"/>
    <m/>
  </r>
  <r>
    <s v="https://projects.propublica.org/nonprofits/display_990/201060782/2012_12_PF%2F20-1060782_990PF_201112"/>
    <s v="Oxford Area Foundation_State Policy Network2011500"/>
    <x v="754"/>
    <x v="162"/>
    <x v="0"/>
    <n v="500"/>
    <x v="9"/>
    <s v="added"/>
    <m/>
  </r>
  <r>
    <s v="https://projects.propublica.org/nonprofits/organizations/161586282/202321319349102012/IRS990PF"/>
    <s v="Paslaqua Charitable Foundation_State Policy Network2022550"/>
    <x v="755"/>
    <x v="163"/>
    <x v="0"/>
    <n v="550"/>
    <x v="0"/>
    <s v="added"/>
    <m/>
  </r>
  <r>
    <s v="https://projects.propublica.org/nonprofits/organizations/161586282/202240679349100904/IRS990PF"/>
    <s v="Paslaqua Charitable Foundation_State Policy Network20211000"/>
    <x v="756"/>
    <x v="163"/>
    <x v="0"/>
    <n v="1000"/>
    <x v="18"/>
    <s v="added"/>
    <m/>
  </r>
  <r>
    <s v="https://projects.propublica.org/nonprofits/organizations/161586282/202100899349100415/IRS990PF"/>
    <s v="Paslaqua Charitable Foundation_State Policy Network2020350"/>
    <x v="757"/>
    <x v="163"/>
    <x v="0"/>
    <n v="350"/>
    <x v="19"/>
    <s v="added"/>
    <m/>
  </r>
  <r>
    <s v="https://projects.propublica.org/nonprofits/organizations/276961238/202331359349101438/IRS990PF"/>
    <s v="Patricia M and Robert H Martinsen Foundation_State Policy Network2022100"/>
    <x v="758"/>
    <x v="164"/>
    <x v="0"/>
    <n v="100"/>
    <x v="0"/>
    <s v="added"/>
    <m/>
  </r>
  <r>
    <s v="https://projects.propublica.org/nonprofits/organizations/276961238/202111339349100536/IRS990PF"/>
    <s v="Patricia M and Robert H Martinsen Foundation_State Policy Network202050"/>
    <x v="759"/>
    <x v="164"/>
    <x v="0"/>
    <n v="50"/>
    <x v="19"/>
    <s v="added"/>
    <m/>
  </r>
  <r>
    <s v="https://projects.propublica.org/nonprofits/display_990/276961238/02_2021_prefixes_27-31%2F276961238_201912_990PF_2021020917700584"/>
    <s v="Patricia M and Robert H Martinsen Foundation_State Policy Network2019100"/>
    <x v="760"/>
    <x v="164"/>
    <x v="0"/>
    <n v="100"/>
    <x v="1"/>
    <s v="added"/>
    <m/>
  </r>
  <r>
    <s v="https://projects.propublica.org/nonprofits/organizations/823439592/202103199349319785/IRS990ScheduleI"/>
    <s v="People United for Privacy Foundation_State Policy Network202025000"/>
    <x v="761"/>
    <x v="165"/>
    <x v="0"/>
    <n v="25000"/>
    <x v="19"/>
    <s v="added"/>
    <m/>
  </r>
  <r>
    <s v="https://projects.propublica.org/nonprofits/organizations/136083839/202213159349101881/IRS990PF"/>
    <s v="Pfizer Foundation_State Policy Network2021100"/>
    <x v="762"/>
    <x v="166"/>
    <x v="0"/>
    <n v="100"/>
    <x v="18"/>
    <s v="added"/>
    <m/>
  </r>
  <r>
    <n v="990"/>
    <s v="PG Beil Foundation_State Policy Network20228000"/>
    <x v="763"/>
    <x v="167"/>
    <x v="0"/>
    <n v="8000"/>
    <x v="0"/>
    <s v="added"/>
    <m/>
  </r>
  <r>
    <n v="990"/>
    <s v="PG Beil Foundation_State Policy Network20218000"/>
    <x v="764"/>
    <x v="167"/>
    <x v="0"/>
    <n v="8000"/>
    <x v="18"/>
    <s v="added"/>
    <m/>
  </r>
  <r>
    <n v="990"/>
    <s v="PG Beil Foundation_State Policy Network20208000"/>
    <x v="765"/>
    <x v="167"/>
    <x v="0"/>
    <n v="8000"/>
    <x v="19"/>
    <s v="added"/>
    <m/>
  </r>
  <r>
    <n v="990"/>
    <s v="PG Beil Foundation_State Policy Network20198000"/>
    <x v="766"/>
    <x v="167"/>
    <x v="0"/>
    <n v="8000"/>
    <x v="1"/>
    <s v="added"/>
    <m/>
  </r>
  <r>
    <n v="990"/>
    <s v="PG Beil Foundation_State Policy Network20188000"/>
    <x v="767"/>
    <x v="167"/>
    <x v="0"/>
    <n v="8000"/>
    <x v="2"/>
    <s v="added"/>
    <m/>
  </r>
  <r>
    <n v="990"/>
    <s v="PG Beil Foundation_State Policy Network20178000"/>
    <x v="768"/>
    <x v="167"/>
    <x v="0"/>
    <n v="8000"/>
    <x v="3"/>
    <s v="added"/>
    <m/>
  </r>
  <r>
    <n v="990"/>
    <s v="PG Beil Foundation_State Policy Network20168000"/>
    <x v="769"/>
    <x v="167"/>
    <x v="0"/>
    <n v="8000"/>
    <x v="4"/>
    <s v="added"/>
    <m/>
  </r>
  <r>
    <n v="990"/>
    <s v="PG Beil Foundation_State Policy Network20158000"/>
    <x v="770"/>
    <x v="167"/>
    <x v="0"/>
    <n v="8000"/>
    <x v="5"/>
    <s v="added"/>
    <m/>
  </r>
  <r>
    <n v="990"/>
    <s v="PG Beil Foundation_State Policy Network20148000"/>
    <x v="771"/>
    <x v="167"/>
    <x v="0"/>
    <n v="8000"/>
    <x v="6"/>
    <s v="added"/>
    <m/>
  </r>
  <r>
    <n v="990"/>
    <s v="PG Beil Foundation_State Policy Network20138000"/>
    <x v="772"/>
    <x v="167"/>
    <x v="0"/>
    <n v="8000"/>
    <x v="7"/>
    <s v="added"/>
    <m/>
  </r>
  <r>
    <n v="990"/>
    <s v="PG Beil Foundation_State Policy Network20125000"/>
    <x v="773"/>
    <x v="167"/>
    <x v="0"/>
    <n v="5000"/>
    <x v="8"/>
    <s v="added"/>
    <m/>
  </r>
  <r>
    <n v="990"/>
    <s v="PG Beil Foundation_State Policy Network20115000"/>
    <x v="774"/>
    <x v="167"/>
    <x v="0"/>
    <n v="5000"/>
    <x v="9"/>
    <s v="added"/>
    <m/>
  </r>
  <r>
    <s v="https://projects.propublica.org/nonprofits/organizations/367252117/202243189349104824/GeneralExplanationAttachment"/>
    <s v="Philip M Friedmann Family Charitable Trust_State Policy Network20215000"/>
    <x v="775"/>
    <x v="168"/>
    <x v="0"/>
    <n v="5000"/>
    <x v="18"/>
    <s v="added"/>
    <m/>
  </r>
  <r>
    <s v="https://projects.propublica.org/nonprofits/organizations/367252117/202143139349101814/GeneralExplanationAttachment"/>
    <s v="Philip M Friedmann Family Charitable Trust_State Policy Network20202500"/>
    <x v="776"/>
    <x v="168"/>
    <x v="0"/>
    <n v="2500"/>
    <x v="19"/>
    <s v="added"/>
    <m/>
  </r>
  <r>
    <s v="https://projects.propublica.org/nonprofits/display_990/367252117/12_2019_prefixes_35-38%2F367252117_201812_990PF_2019121616960962"/>
    <s v="Philip M Friedmann Family Charitable Trust_State Policy Network20182500"/>
    <x v="777"/>
    <x v="168"/>
    <x v="0"/>
    <n v="2500"/>
    <x v="2"/>
    <s v="added"/>
    <m/>
  </r>
  <r>
    <s v="https://projects.propublica.org/nonprofits/display_990/367252117/2016_11_PF%2F36-7252117_990PF_201512"/>
    <s v="Philip M Friedmann Family Charitable Trust_State Policy Network20152500"/>
    <x v="778"/>
    <x v="168"/>
    <x v="0"/>
    <n v="2500"/>
    <x v="5"/>
    <s v="added"/>
    <m/>
  </r>
  <r>
    <s v="https://projects.propublica.org/nonprofits/display_990/367252117/2014_11_PF%2F36-7252117_990PF_201312"/>
    <s v="Philip M Friedmann Family Charitable Trust_State Policy Network20131000"/>
    <x v="779"/>
    <x v="168"/>
    <x v="0"/>
    <n v="1000"/>
    <x v="7"/>
    <s v="added"/>
    <m/>
  </r>
  <r>
    <n v="990"/>
    <s v="PhRMA_State Policy Network201615000"/>
    <x v="780"/>
    <x v="169"/>
    <x v="0"/>
    <n v="15000"/>
    <x v="4"/>
    <s v="added"/>
    <m/>
  </r>
  <r>
    <s v="CT2017"/>
    <s v="PhRMA_State Policy Network200860000"/>
    <x v="781"/>
    <x v="169"/>
    <x v="0"/>
    <n v="60000"/>
    <x v="12"/>
    <m/>
    <m/>
  </r>
  <r>
    <s v="https://projects.propublica.org/nonprofits/organizations/472843650/201803119349300205/IRS990ScheduleI"/>
    <s v="Policy Circle Co_State Policy Network201713000"/>
    <x v="782"/>
    <x v="170"/>
    <x v="0"/>
    <n v="13000"/>
    <x v="3"/>
    <s v="added"/>
    <m/>
  </r>
  <r>
    <s v="https://projects.propublica.org/nonprofits/organizations/222175290/201511689349100111/IRS990PF"/>
    <s v="Prudential Foundation_State Policy Network201425"/>
    <x v="783"/>
    <x v="171"/>
    <x v="0"/>
    <n v="25"/>
    <x v="6"/>
    <s v="added"/>
    <m/>
  </r>
  <r>
    <s v="https://projects.propublica.org/nonprofits/organizations/222175290/201441749349100154/IRS990PF"/>
    <s v="Prudential Foundation_State Policy Network201325"/>
    <x v="784"/>
    <x v="171"/>
    <x v="0"/>
    <n v="25"/>
    <x v="7"/>
    <s v="added"/>
    <m/>
  </r>
  <r>
    <s v="https://projects.propublica.org/nonprofits/organizations/526854624/202223159349102507/IRS990PF"/>
    <s v="Quaker City_State Policy Network2021250"/>
    <x v="785"/>
    <x v="172"/>
    <x v="0"/>
    <n v="250"/>
    <x v="18"/>
    <s v="added"/>
    <m/>
  </r>
  <r>
    <s v="https://projects.propublica.org/nonprofits/organizations/266244572/201441359349101364/IRS990PF"/>
    <s v="Ralph A Loveys Family Charitable Foundation_State Policy Network2013200"/>
    <x v="786"/>
    <x v="173"/>
    <x v="0"/>
    <n v="200"/>
    <x v="7"/>
    <s v="added"/>
    <m/>
  </r>
  <r>
    <s v="https://projects.propublica.org/nonprofits/redirect_to_990/266244572/2012"/>
    <s v="Ralph A Loveys Family Charitable Foundation_State Policy Network2012500"/>
    <x v="787"/>
    <x v="173"/>
    <x v="0"/>
    <n v="500"/>
    <x v="8"/>
    <s v="added"/>
    <m/>
  </r>
  <r>
    <s v="https://projects.propublica.org/nonprofits/redirect_to_990/266244572/2011"/>
    <s v="Ralph A Loveys Family Charitable Foundation_State Policy Network2011250"/>
    <x v="788"/>
    <x v="173"/>
    <x v="0"/>
    <n v="250"/>
    <x v="9"/>
    <s v="added"/>
    <m/>
  </r>
  <r>
    <s v="https://projects.propublica.org/nonprofits/redirect_to_990/266164658/2012"/>
    <s v="Ralph and Linda Kaffel Charitable Foundation_State Policy Network2012200"/>
    <x v="789"/>
    <x v="174"/>
    <x v="0"/>
    <n v="200"/>
    <x v="8"/>
    <s v="added"/>
    <m/>
  </r>
  <r>
    <n v="990"/>
    <s v="Reams Foundation_State Policy Network202170000"/>
    <x v="790"/>
    <x v="175"/>
    <x v="0"/>
    <n v="70000"/>
    <x v="18"/>
    <s v="added"/>
    <m/>
  </r>
  <r>
    <n v="990"/>
    <s v="Reams Foundation_State Policy Network202070000"/>
    <x v="791"/>
    <x v="175"/>
    <x v="0"/>
    <n v="70000"/>
    <x v="19"/>
    <s v="added"/>
    <m/>
  </r>
  <r>
    <n v="990"/>
    <s v="Reams Foundation_State Policy Network201960000"/>
    <x v="792"/>
    <x v="175"/>
    <x v="0"/>
    <n v="60000"/>
    <x v="1"/>
    <s v="added"/>
    <m/>
  </r>
  <r>
    <n v="990"/>
    <s v="Reams Foundation_State Policy Network201850000"/>
    <x v="793"/>
    <x v="175"/>
    <x v="0"/>
    <n v="50000"/>
    <x v="2"/>
    <s v="added"/>
    <m/>
  </r>
  <r>
    <n v="990"/>
    <s v="Reams Foundation_State Policy Network201730000"/>
    <x v="794"/>
    <x v="175"/>
    <x v="0"/>
    <n v="30000"/>
    <x v="3"/>
    <s v="added"/>
    <m/>
  </r>
  <r>
    <n v="990"/>
    <s v="Reams Foundation_State Policy Network201660000"/>
    <x v="795"/>
    <x v="175"/>
    <x v="0"/>
    <n v="60000"/>
    <x v="4"/>
    <s v="added"/>
    <m/>
  </r>
  <r>
    <n v="990"/>
    <s v="Reams Foundation_State Policy Network201560000"/>
    <x v="796"/>
    <x v="175"/>
    <x v="0"/>
    <n v="60000"/>
    <x v="5"/>
    <s v="added"/>
    <m/>
  </r>
  <r>
    <n v="990"/>
    <s v="Reams Foundation_State Policy Network201460000"/>
    <x v="797"/>
    <x v="175"/>
    <x v="0"/>
    <n v="60000"/>
    <x v="6"/>
    <s v="added"/>
    <m/>
  </r>
  <r>
    <n v="990"/>
    <s v="Reams Foundation_State Policy Network201325000"/>
    <x v="798"/>
    <x v="175"/>
    <x v="0"/>
    <n v="25000"/>
    <x v="7"/>
    <s v="added"/>
    <m/>
  </r>
  <r>
    <s v="CT2016"/>
    <s v="Reams Foundation_State Policy Network201225000"/>
    <x v="799"/>
    <x v="175"/>
    <x v="0"/>
    <n v="25000"/>
    <x v="8"/>
    <s v="verified"/>
    <m/>
  </r>
  <r>
    <s v="https://projects.propublica.org/nonprofits/organizations/363747664/202220599349100367/IRS990PF"/>
    <s v="Red Bird Hollow Foundation_State Policy Network20213000"/>
    <x v="800"/>
    <x v="176"/>
    <x v="0"/>
    <n v="3000"/>
    <x v="18"/>
    <s v="added"/>
    <m/>
  </r>
  <r>
    <s v="https://projects.propublica.org/nonprofits/organizations/363747664/202120579349100017/IRS990PF"/>
    <s v="Red Bird Hollow Foundation_State Policy Network20201000"/>
    <x v="801"/>
    <x v="176"/>
    <x v="0"/>
    <n v="1000"/>
    <x v="19"/>
    <s v="added"/>
    <m/>
  </r>
  <r>
    <s v="https://projects.propublica.org/nonprofits/organizations/363747664/202001349349101030/IRS990PF"/>
    <s v="Red Bird Hollow Foundation_State Policy Network20191000"/>
    <x v="802"/>
    <x v="176"/>
    <x v="0"/>
    <n v="1000"/>
    <x v="1"/>
    <s v="added"/>
    <m/>
  </r>
  <r>
    <s v="https://projects.propublica.org/nonprofits/organizations/953950678/201623209349104367/IRS990PF"/>
    <s v="Rhonda Fleming Foundation_State Policy Network2015250"/>
    <x v="803"/>
    <x v="177"/>
    <x v="0"/>
    <n v="250"/>
    <x v="5"/>
    <s v="added"/>
    <m/>
  </r>
  <r>
    <n v="990"/>
    <s v="Richard Horvitz and Erica Hartman Horvitz Foundation_State Policy Network20212500"/>
    <x v="804"/>
    <x v="178"/>
    <x v="0"/>
    <n v="2500"/>
    <x v="18"/>
    <s v="added"/>
    <m/>
  </r>
  <r>
    <n v="990"/>
    <s v="Richard Horvitz and Erica Hartman Horvitz Foundation_State Policy Network20212500"/>
    <x v="804"/>
    <x v="178"/>
    <x v="0"/>
    <n v="2500"/>
    <x v="18"/>
    <s v="added"/>
    <m/>
  </r>
  <r>
    <n v="990"/>
    <s v="Richard Horvitz and Erica Hartman Horvitz Foundation_State Policy Network20202500"/>
    <x v="805"/>
    <x v="178"/>
    <x v="0"/>
    <n v="2500"/>
    <x v="19"/>
    <s v="added"/>
    <m/>
  </r>
  <r>
    <n v="990"/>
    <s v="Richard Horvitz and Erica Hartman Horvitz Foundation_State Policy Network20202500"/>
    <x v="805"/>
    <x v="178"/>
    <x v="0"/>
    <n v="2500"/>
    <x v="19"/>
    <s v="added"/>
    <m/>
  </r>
  <r>
    <n v="990"/>
    <s v="Richard Horvitz and Erica Hartman Horvitz Foundation_State Policy Network20192500"/>
    <x v="806"/>
    <x v="178"/>
    <x v="0"/>
    <n v="2500"/>
    <x v="1"/>
    <s v="added"/>
    <m/>
  </r>
  <r>
    <n v="990"/>
    <s v="Richard Horvitz and Erica Hartman Horvitz Foundation_State Policy Network20192500"/>
    <x v="806"/>
    <x v="178"/>
    <x v="0"/>
    <n v="2500"/>
    <x v="1"/>
    <s v="added"/>
    <m/>
  </r>
  <r>
    <n v="990"/>
    <s v="Richard Horvitz and Erica Hartman Horvitz Foundation_State Policy Network20182500"/>
    <x v="807"/>
    <x v="178"/>
    <x v="0"/>
    <n v="2500"/>
    <x v="2"/>
    <s v="added"/>
    <m/>
  </r>
  <r>
    <n v="990"/>
    <s v="Richard Horvitz and Erica Hartman Horvitz Foundation_State Policy Network20185000"/>
    <x v="807"/>
    <x v="178"/>
    <x v="0"/>
    <n v="5000"/>
    <x v="2"/>
    <s v="added"/>
    <m/>
  </r>
  <r>
    <n v="990"/>
    <s v="Richard Horvitz and Erica Hartman Horvitz Foundation_State Policy Network20172500"/>
    <x v="808"/>
    <x v="178"/>
    <x v="0"/>
    <n v="2500"/>
    <x v="3"/>
    <s v="added"/>
    <m/>
  </r>
  <r>
    <n v="990"/>
    <s v="Richard Horvitz and Erica Hartman Horvitz Foundation_State Policy Network20162500"/>
    <x v="809"/>
    <x v="178"/>
    <x v="0"/>
    <n v="2500"/>
    <x v="4"/>
    <s v="added"/>
    <m/>
  </r>
  <r>
    <n v="990"/>
    <s v="Richard Horvitz and Erica Hartman Horvitz Foundation_State Policy Network20162500"/>
    <x v="809"/>
    <x v="178"/>
    <x v="0"/>
    <n v="2500"/>
    <x v="4"/>
    <s v="added"/>
    <m/>
  </r>
  <r>
    <n v="990"/>
    <s v="Richard Horvitz and Erica Hartman Horvitz Foundation_State Policy Network20155000"/>
    <x v="810"/>
    <x v="178"/>
    <x v="0"/>
    <n v="5000"/>
    <x v="5"/>
    <s v="added"/>
    <m/>
  </r>
  <r>
    <n v="990"/>
    <s v="Richard Horvitz and Erica Hartman Horvitz Foundation_State Policy Network20143000"/>
    <x v="811"/>
    <x v="178"/>
    <x v="0"/>
    <n v="3000"/>
    <x v="6"/>
    <s v="added"/>
    <m/>
  </r>
  <r>
    <n v="990"/>
    <s v="Richard Horvitz and Erica Hartman Horvitz Foundation_State Policy Network2013250"/>
    <x v="812"/>
    <x v="178"/>
    <x v="0"/>
    <n v="250"/>
    <x v="7"/>
    <s v="added"/>
    <m/>
  </r>
  <r>
    <n v="990"/>
    <s v="Richard Horvitz and Erica Hartman Horvitz Foundation_State Policy Network2012250"/>
    <x v="813"/>
    <x v="178"/>
    <x v="0"/>
    <n v="250"/>
    <x v="8"/>
    <s v="added"/>
    <m/>
  </r>
  <r>
    <n v="990"/>
    <s v="Richard Horvitz and Erica Hartman Horvitz Foundation_State Policy Network2011250"/>
    <x v="814"/>
    <x v="178"/>
    <x v="0"/>
    <n v="250"/>
    <x v="9"/>
    <s v="added"/>
    <m/>
  </r>
  <r>
    <s v="https://projects.propublica.org/nonprofits/organizations/136868370/202321249349100017/IRS990PF"/>
    <s v="Richard M Allen Charitable Trust_State Policy Network2022500"/>
    <x v="815"/>
    <x v="179"/>
    <x v="0"/>
    <n v="500"/>
    <x v="0"/>
    <s v="added"/>
    <m/>
  </r>
  <r>
    <s v="https://projects.propublica.org/nonprofits/organizations/136868370/202242499349100404/IRS990PF"/>
    <s v="Richard M Allen Charitable Trust_State Policy Network2021500"/>
    <x v="816"/>
    <x v="179"/>
    <x v="0"/>
    <n v="500"/>
    <x v="18"/>
    <s v="added"/>
    <m/>
  </r>
  <r>
    <n v="990"/>
    <s v="Richard Seth Staley Educational Foundation_State Policy Network20167000"/>
    <x v="817"/>
    <x v="180"/>
    <x v="0"/>
    <n v="7000"/>
    <x v="4"/>
    <s v="added"/>
    <m/>
  </r>
  <r>
    <n v="990"/>
    <s v="Richard Seth Staley Educational Foundation_State Policy Network20156000"/>
    <x v="818"/>
    <x v="180"/>
    <x v="0"/>
    <n v="6000"/>
    <x v="5"/>
    <s v="added"/>
    <m/>
  </r>
  <r>
    <n v="990"/>
    <s v="Richard Seth Staley Educational Foundation_State Policy Network20142500"/>
    <x v="819"/>
    <x v="180"/>
    <x v="0"/>
    <n v="2500"/>
    <x v="6"/>
    <s v="added"/>
    <m/>
  </r>
  <r>
    <n v="990"/>
    <s v="Richard Seth Staley Educational Foundation_State Policy Network20133608.94"/>
    <x v="820"/>
    <x v="180"/>
    <x v="0"/>
    <n v="3608.94"/>
    <x v="7"/>
    <s v="added"/>
    <m/>
  </r>
  <r>
    <n v="990"/>
    <s v="Richard Seth Staley Educational Foundation_State Policy Network20114783.06"/>
    <x v="821"/>
    <x v="180"/>
    <x v="0"/>
    <n v="4783.0600000000004"/>
    <x v="9"/>
    <s v="added"/>
    <m/>
  </r>
  <r>
    <n v="990"/>
    <s v="Richard Seth Staley Educational Foundation_State Policy Network2009100"/>
    <x v="822"/>
    <x v="180"/>
    <x v="0"/>
    <n v="100"/>
    <x v="11"/>
    <s v="added"/>
    <m/>
  </r>
  <r>
    <s v="https://projects.propublica.org/nonprofits/organizations/746493929/202321309349104552/IRS990PF"/>
    <s v="Riklin Charitable Trust_State Policy Network2022250"/>
    <x v="823"/>
    <x v="181"/>
    <x v="0"/>
    <n v="250"/>
    <x v="0"/>
    <s v="added"/>
    <m/>
  </r>
  <r>
    <s v="https://projects.propublica.org/nonprofits/organizations/746493929/202221329349102837/IRS990PF"/>
    <s v="Riklin Charitable Trust_State Policy Network2021250"/>
    <x v="824"/>
    <x v="181"/>
    <x v="0"/>
    <n v="250"/>
    <x v="18"/>
    <s v="added"/>
    <m/>
  </r>
  <r>
    <s v="https://projects.propublica.org/nonprofits/organizations/746493929/202101669349100920/IRS990PF"/>
    <s v="Riklin Charitable Trust_State Policy Network2020250"/>
    <x v="825"/>
    <x v="181"/>
    <x v="0"/>
    <n v="250"/>
    <x v="19"/>
    <s v="added"/>
    <m/>
  </r>
  <r>
    <s v="https://projects.propublica.org/nonprofits/organizations/746493929/202011379349100201/IRS990PF"/>
    <s v="Riklin Charitable Trust_State Policy Network2019250"/>
    <x v="826"/>
    <x v="181"/>
    <x v="0"/>
    <n v="250"/>
    <x v="1"/>
    <s v="added"/>
    <m/>
  </r>
  <r>
    <s v="https://projects.propublica.org/nonprofits/organizations/61519267/202011489349101101/IRS990PF"/>
    <s v="Rising Phoenix Foundation_State Policy Network20191000"/>
    <x v="827"/>
    <x v="182"/>
    <x v="0"/>
    <n v="1000"/>
    <x v="1"/>
    <s v="added"/>
    <m/>
  </r>
  <r>
    <s v="https://projects.propublica.org/nonprofits/organizations/61519267/201931639349100508/IRS990PF"/>
    <s v="Rising Phoenix Foundation_State Policy Network2018750"/>
    <x v="828"/>
    <x v="182"/>
    <x v="0"/>
    <n v="750"/>
    <x v="2"/>
    <s v="added"/>
    <m/>
  </r>
  <r>
    <s v="https://projects.propublica.org/nonprofits/organizations/61519267/201811229349100326/IRS990PF"/>
    <s v="Rising Phoenix Foundation_State Policy Network2017500"/>
    <x v="829"/>
    <x v="182"/>
    <x v="0"/>
    <n v="500"/>
    <x v="3"/>
    <s v="added"/>
    <m/>
  </r>
  <r>
    <s v="https://projects.propublica.org/nonprofits/organizations/61519267/201731179349100123/IRS990PF"/>
    <s v="Rising Phoenix Foundation_State Policy Network20161000"/>
    <x v="830"/>
    <x v="182"/>
    <x v="0"/>
    <n v="1000"/>
    <x v="4"/>
    <s v="added"/>
    <m/>
  </r>
  <r>
    <s v="https://projects.propublica.org/nonprofits/organizations/61519267/201611239349100611/IRS990PF"/>
    <s v="Rising Phoenix Foundation_State Policy Network20152750"/>
    <x v="831"/>
    <x v="182"/>
    <x v="0"/>
    <n v="2750"/>
    <x v="5"/>
    <s v="added"/>
    <m/>
  </r>
  <r>
    <s v="https://projects.propublica.org/nonprofits/organizations/61519267/201411229349100806/IRS990PF"/>
    <s v="Rising Phoenix Foundation_State Policy Network20131100"/>
    <x v="832"/>
    <x v="182"/>
    <x v="0"/>
    <n v="1100"/>
    <x v="7"/>
    <s v="added"/>
    <m/>
  </r>
  <r>
    <s v="https://projects.propublica.org/nonprofits/redirect_to_990/61519267/2012"/>
    <s v="Rising Phoenix Foundation_State Policy Network20121000"/>
    <x v="833"/>
    <x v="182"/>
    <x v="0"/>
    <n v="1000"/>
    <x v="8"/>
    <s v="added"/>
    <m/>
  </r>
  <r>
    <s v="https://projects.propublica.org/nonprofits/redirect_to_990/61519267/2011"/>
    <s v="Rising Phoenix Foundation_State Policy Network20111500"/>
    <x v="834"/>
    <x v="182"/>
    <x v="0"/>
    <n v="1500"/>
    <x v="9"/>
    <s v="added"/>
    <m/>
  </r>
  <r>
    <s v="https://projects.propublica.org/nonprofits/redirect_to_990/61519267/2010"/>
    <s v="Rising Phoenix Foundation_State Policy Network201010000"/>
    <x v="835"/>
    <x v="182"/>
    <x v="0"/>
    <n v="10000"/>
    <x v="10"/>
    <s v="added"/>
    <m/>
  </r>
  <r>
    <s v="https://projects.propublica.org/nonprofits/display_990/61519267/2009_06_PF%2F06-1519267_990PF_200812"/>
    <s v="Rising Phoenix Foundation_State Policy Network200810000"/>
    <x v="836"/>
    <x v="182"/>
    <x v="0"/>
    <n v="10000"/>
    <x v="12"/>
    <s v="added"/>
    <m/>
  </r>
  <r>
    <n v="990"/>
    <s v="Robert P Rotella Foundation_State Policy Network20195000"/>
    <x v="837"/>
    <x v="183"/>
    <x v="0"/>
    <n v="5000"/>
    <x v="1"/>
    <s v="added"/>
    <m/>
  </r>
  <r>
    <n v="990"/>
    <s v="Robert P Rotella Foundation_State Policy Network201810000"/>
    <x v="838"/>
    <x v="183"/>
    <x v="0"/>
    <n v="10000"/>
    <x v="2"/>
    <s v="added"/>
    <m/>
  </r>
  <r>
    <n v="990"/>
    <s v="Robert P Rotella Foundation_State Policy Network20177500"/>
    <x v="839"/>
    <x v="183"/>
    <x v="0"/>
    <n v="7500"/>
    <x v="3"/>
    <s v="added"/>
    <m/>
  </r>
  <r>
    <n v="990"/>
    <s v="Robert P Rotella Foundation_State Policy Network20167500"/>
    <x v="840"/>
    <x v="183"/>
    <x v="0"/>
    <n v="7500"/>
    <x v="4"/>
    <s v="added"/>
    <m/>
  </r>
  <r>
    <n v="990"/>
    <s v="Robert P Rotella Foundation_State Policy Network20157500"/>
    <x v="841"/>
    <x v="183"/>
    <x v="0"/>
    <n v="7500"/>
    <x v="5"/>
    <s v="added"/>
    <m/>
  </r>
  <r>
    <n v="990"/>
    <s v="Robert P Rotella Foundation_State Policy Network20147500"/>
    <x v="842"/>
    <x v="183"/>
    <x v="0"/>
    <n v="7500"/>
    <x v="6"/>
    <s v="added"/>
    <m/>
  </r>
  <r>
    <n v="990"/>
    <s v="Robert P Rotella Foundation_State Policy Network20137500"/>
    <x v="843"/>
    <x v="183"/>
    <x v="0"/>
    <n v="7500"/>
    <x v="7"/>
    <s v="added"/>
    <m/>
  </r>
  <r>
    <s v="CT2017"/>
    <s v="Robert P Rotella Foundation_State Policy Network20125000"/>
    <x v="844"/>
    <x v="183"/>
    <x v="0"/>
    <n v="5000"/>
    <x v="8"/>
    <s v="verified"/>
    <m/>
  </r>
  <r>
    <n v="990"/>
    <s v="Robertson-Finley Foundation_State Policy Network20227000"/>
    <x v="845"/>
    <x v="184"/>
    <x v="0"/>
    <n v="7000"/>
    <x v="0"/>
    <s v="added"/>
    <m/>
  </r>
  <r>
    <n v="990"/>
    <s v="Robertson-Finley Foundation_State Policy Network20217000"/>
    <x v="846"/>
    <x v="184"/>
    <x v="0"/>
    <n v="7000"/>
    <x v="18"/>
    <s v="added"/>
    <m/>
  </r>
  <r>
    <n v="990"/>
    <s v="Robertson-Finley Foundation_State Policy Network20207000"/>
    <x v="847"/>
    <x v="184"/>
    <x v="0"/>
    <n v="7000"/>
    <x v="19"/>
    <s v="added"/>
    <m/>
  </r>
  <r>
    <n v="990"/>
    <s v="Robertson-Finley Foundation_State Policy Network20195000"/>
    <x v="848"/>
    <x v="184"/>
    <x v="0"/>
    <n v="5000"/>
    <x v="1"/>
    <s v="added"/>
    <m/>
  </r>
  <r>
    <n v="990"/>
    <s v="Robertson-Finley Foundation_State Policy Network20185000"/>
    <x v="849"/>
    <x v="184"/>
    <x v="0"/>
    <n v="5000"/>
    <x v="2"/>
    <s v="added"/>
    <m/>
  </r>
  <r>
    <n v="990"/>
    <s v="Robertson-Finley Foundation_State Policy Network20175000"/>
    <x v="850"/>
    <x v="184"/>
    <x v="0"/>
    <n v="5000"/>
    <x v="3"/>
    <s v="added"/>
    <m/>
  </r>
  <r>
    <n v="990"/>
    <s v="Robertson-Finley Foundation_State Policy Network20164000"/>
    <x v="851"/>
    <x v="184"/>
    <x v="0"/>
    <n v="4000"/>
    <x v="4"/>
    <s v="added"/>
    <m/>
  </r>
  <r>
    <n v="990"/>
    <s v="Robertson-Finley Foundation_State Policy Network20153000"/>
    <x v="852"/>
    <x v="184"/>
    <x v="0"/>
    <n v="3000"/>
    <x v="5"/>
    <s v="added"/>
    <m/>
  </r>
  <r>
    <n v="990"/>
    <s v="Robertson-Finley Foundation_State Policy Network20142500"/>
    <x v="853"/>
    <x v="184"/>
    <x v="0"/>
    <n v="2500"/>
    <x v="6"/>
    <s v="added"/>
    <m/>
  </r>
  <r>
    <s v="CT2017"/>
    <s v="Robertson-Finley Foundation_State Policy Network20132500"/>
    <x v="854"/>
    <x v="184"/>
    <x v="0"/>
    <n v="2500"/>
    <x v="7"/>
    <m/>
    <m/>
  </r>
  <r>
    <n v="990"/>
    <s v="Rodney Fund_State Policy Network20183000"/>
    <x v="855"/>
    <x v="185"/>
    <x v="0"/>
    <n v="3000"/>
    <x v="2"/>
    <s v="added"/>
    <m/>
  </r>
  <r>
    <n v="990"/>
    <s v="Rodney Fund_State Policy Network20176000"/>
    <x v="856"/>
    <x v="185"/>
    <x v="0"/>
    <n v="6000"/>
    <x v="3"/>
    <s v="added"/>
    <m/>
  </r>
  <r>
    <n v="990"/>
    <s v="Rodney Fund_State Policy Network20144000"/>
    <x v="857"/>
    <x v="185"/>
    <x v="0"/>
    <n v="4000"/>
    <x v="6"/>
    <s v="added"/>
    <m/>
  </r>
  <r>
    <s v="CT2017"/>
    <s v="Rodney Fund_State Policy Network201313000"/>
    <x v="858"/>
    <x v="185"/>
    <x v="0"/>
    <n v="13000"/>
    <x v="7"/>
    <s v="verified"/>
    <m/>
  </r>
  <r>
    <s v="CT2017"/>
    <s v="Rodney Fund_State Policy Network201212000"/>
    <x v="859"/>
    <x v="185"/>
    <x v="0"/>
    <n v="12000"/>
    <x v="8"/>
    <s v="verified"/>
    <m/>
  </r>
  <r>
    <s v="CT2016"/>
    <s v="Rodney Fund_State Policy Network20118000"/>
    <x v="860"/>
    <x v="185"/>
    <x v="0"/>
    <n v="8000"/>
    <x v="9"/>
    <s v="verified"/>
    <m/>
  </r>
  <r>
    <s v="CT2016"/>
    <s v="Rodney Fund_State Policy Network20084000"/>
    <x v="861"/>
    <x v="185"/>
    <x v="0"/>
    <n v="4000"/>
    <x v="12"/>
    <s v="verified"/>
    <m/>
  </r>
  <r>
    <s v="CT2016"/>
    <s v="Rodney Fund_State Policy Network20076000"/>
    <x v="862"/>
    <x v="185"/>
    <x v="0"/>
    <n v="6000"/>
    <x v="13"/>
    <s v="verified"/>
    <m/>
  </r>
  <r>
    <s v="CT2016"/>
    <s v="Rodney Fund_State Policy Network20068000"/>
    <x v="863"/>
    <x v="185"/>
    <x v="0"/>
    <n v="8000"/>
    <x v="14"/>
    <s v="verified"/>
    <m/>
  </r>
  <r>
    <s v="CT2016"/>
    <s v="Rodney Fund_State Policy Network20056000"/>
    <x v="864"/>
    <x v="185"/>
    <x v="0"/>
    <n v="6000"/>
    <x v="15"/>
    <s v="verified"/>
    <m/>
  </r>
  <r>
    <s v="CT2016"/>
    <s v="Rodney Fund_State Policy Network20041000"/>
    <x v="865"/>
    <x v="185"/>
    <x v="0"/>
    <n v="1000"/>
    <x v="16"/>
    <s v="verified"/>
    <m/>
  </r>
  <r>
    <s v="CT2016"/>
    <s v="Rodney Fund_State Policy Network2001500"/>
    <x v="866"/>
    <x v="185"/>
    <x v="0"/>
    <n v="500"/>
    <x v="20"/>
    <s v="verified"/>
    <m/>
  </r>
  <r>
    <n v="990"/>
    <s v="Roe Foundation_State Policy Network20224000000"/>
    <x v="867"/>
    <x v="186"/>
    <x v="0"/>
    <n v="4000000"/>
    <x v="0"/>
    <s v="added"/>
    <m/>
  </r>
  <r>
    <n v="990"/>
    <s v="Roe Foundation_State Policy Network20213700000"/>
    <x v="868"/>
    <x v="186"/>
    <x v="0"/>
    <n v="3700000"/>
    <x v="18"/>
    <s v="added"/>
    <m/>
  </r>
  <r>
    <n v="990"/>
    <s v="Roe Foundation_State Policy Network2020150000"/>
    <x v="869"/>
    <x v="186"/>
    <x v="0"/>
    <n v="150000"/>
    <x v="19"/>
    <s v="added"/>
    <m/>
  </r>
  <r>
    <n v="990"/>
    <s v="Roe Foundation_State Policy Network2019125000"/>
    <x v="870"/>
    <x v="186"/>
    <x v="0"/>
    <n v="125000"/>
    <x v="1"/>
    <s v="added"/>
    <m/>
  </r>
  <r>
    <n v="990"/>
    <s v="Roe Foundation_State Policy Network2018125000"/>
    <x v="871"/>
    <x v="186"/>
    <x v="0"/>
    <n v="125000"/>
    <x v="2"/>
    <s v="added"/>
    <m/>
  </r>
  <r>
    <n v="990"/>
    <s v="Roe Foundation_State Policy Network2015125000"/>
    <x v="872"/>
    <x v="186"/>
    <x v="0"/>
    <n v="125000"/>
    <x v="5"/>
    <s v="added"/>
    <m/>
  </r>
  <r>
    <n v="990"/>
    <s v="Roe Foundation_State Policy Network2014125000"/>
    <x v="873"/>
    <x v="186"/>
    <x v="0"/>
    <n v="125000"/>
    <x v="6"/>
    <s v="added"/>
    <m/>
  </r>
  <r>
    <n v="990"/>
    <s v="Roe Foundation_State Policy Network2013125000"/>
    <x v="874"/>
    <x v="186"/>
    <x v="0"/>
    <n v="125000"/>
    <x v="7"/>
    <s v="added"/>
    <m/>
  </r>
  <r>
    <s v="CT2017"/>
    <s v="Roe Foundation_State Policy Network2012100000"/>
    <x v="875"/>
    <x v="186"/>
    <x v="0"/>
    <n v="100000"/>
    <x v="8"/>
    <s v="verified"/>
    <m/>
  </r>
  <r>
    <s v="CT2017"/>
    <s v="Roe Foundation_State Policy Network20122000"/>
    <x v="875"/>
    <x v="186"/>
    <x v="0"/>
    <n v="2000"/>
    <x v="8"/>
    <s v="verified"/>
    <m/>
  </r>
  <r>
    <s v="CT2017"/>
    <s v="Roe Foundation_State Policy Network2011100000"/>
    <x v="876"/>
    <x v="186"/>
    <x v="0"/>
    <n v="100000"/>
    <x v="9"/>
    <s v="verified"/>
    <m/>
  </r>
  <r>
    <s v="CT2017"/>
    <s v="Roe Foundation_State Policy Network201070000"/>
    <x v="877"/>
    <x v="186"/>
    <x v="0"/>
    <n v="70000"/>
    <x v="10"/>
    <s v="verified"/>
    <m/>
  </r>
  <r>
    <s v="CT2017"/>
    <s v="Roe Foundation_State Policy Network200965000"/>
    <x v="878"/>
    <x v="186"/>
    <x v="0"/>
    <n v="65000"/>
    <x v="11"/>
    <s v="verified"/>
    <m/>
  </r>
  <r>
    <s v="CT2017"/>
    <s v="Roe Foundation_State Policy Network200865000"/>
    <x v="879"/>
    <x v="186"/>
    <x v="0"/>
    <n v="65000"/>
    <x v="12"/>
    <s v="verified"/>
    <m/>
  </r>
  <r>
    <s v="CT2017"/>
    <s v="Roe Foundation_State Policy Network200765000"/>
    <x v="880"/>
    <x v="186"/>
    <x v="0"/>
    <n v="65000"/>
    <x v="13"/>
    <s v="verified"/>
    <m/>
  </r>
  <r>
    <s v="CT2017"/>
    <s v="Roe Foundation_State Policy Network200625000"/>
    <x v="881"/>
    <x v="186"/>
    <x v="0"/>
    <n v="25000"/>
    <x v="14"/>
    <s v="verified"/>
    <m/>
  </r>
  <r>
    <s v="CT2017"/>
    <s v="Roe Foundation_State Policy Network200665000"/>
    <x v="881"/>
    <x v="186"/>
    <x v="0"/>
    <n v="65000"/>
    <x v="14"/>
    <s v="verified"/>
    <m/>
  </r>
  <r>
    <s v="CT2017"/>
    <s v="Roe Foundation_State Policy Network200565000"/>
    <x v="882"/>
    <x v="186"/>
    <x v="0"/>
    <n v="65000"/>
    <x v="15"/>
    <s v="verified"/>
    <m/>
  </r>
  <r>
    <s v="CT2017"/>
    <s v="Roe Foundation_State Policy Network200465000"/>
    <x v="883"/>
    <x v="186"/>
    <x v="0"/>
    <n v="65000"/>
    <x v="16"/>
    <s v="verified"/>
    <m/>
  </r>
  <r>
    <s v="CT2017"/>
    <s v="Roe Foundation_State Policy Network200315000"/>
    <x v="884"/>
    <x v="186"/>
    <x v="0"/>
    <n v="15000"/>
    <x v="17"/>
    <s v="verified"/>
    <m/>
  </r>
  <r>
    <s v="CT2017"/>
    <s v="Roe Foundation_State Policy Network200365000"/>
    <x v="884"/>
    <x v="186"/>
    <x v="0"/>
    <n v="65000"/>
    <x v="17"/>
    <s v="verified"/>
    <m/>
  </r>
  <r>
    <s v="CT2017"/>
    <s v="Roe Foundation_State Policy Network200215000"/>
    <x v="885"/>
    <x v="186"/>
    <x v="0"/>
    <n v="15000"/>
    <x v="22"/>
    <s v="verified"/>
    <m/>
  </r>
  <r>
    <s v="CT2017"/>
    <s v="Roe Foundation_State Policy Network200260000"/>
    <x v="885"/>
    <x v="186"/>
    <x v="0"/>
    <n v="60000"/>
    <x v="22"/>
    <s v="verified"/>
    <m/>
  </r>
  <r>
    <s v="CT2017"/>
    <s v="Roe Foundation_State Policy Network200162500"/>
    <x v="886"/>
    <x v="186"/>
    <x v="0"/>
    <n v="62500"/>
    <x v="20"/>
    <m/>
    <m/>
  </r>
  <r>
    <s v="CT2017"/>
    <s v="Roe Foundation_State Policy Network200012500"/>
    <x v="887"/>
    <x v="186"/>
    <x v="0"/>
    <n v="12500"/>
    <x v="21"/>
    <m/>
    <m/>
  </r>
  <r>
    <s v="CT2017"/>
    <s v="Roe Foundation_State Policy Network1999125000"/>
    <x v="888"/>
    <x v="186"/>
    <x v="0"/>
    <n v="125000"/>
    <x v="23"/>
    <m/>
    <m/>
  </r>
  <r>
    <s v="CT2017"/>
    <s v="Roe Foundation_State Policy Network19985000"/>
    <x v="889"/>
    <x v="186"/>
    <x v="0"/>
    <n v="5000"/>
    <x v="28"/>
    <m/>
    <m/>
  </r>
  <r>
    <s v="CT2017"/>
    <s v="Roe Foundation_State Policy Network199860000"/>
    <x v="889"/>
    <x v="186"/>
    <x v="0"/>
    <n v="60000"/>
    <x v="28"/>
    <m/>
    <m/>
  </r>
  <r>
    <s v="https://projects.propublica.org/nonprofits/organizations/341322032/202320419349100207/IRS990PF"/>
    <s v="Roemisch Family Foundation_State Policy Network2021190"/>
    <x v="890"/>
    <x v="187"/>
    <x v="0"/>
    <n v="190"/>
    <x v="18"/>
    <s v="added"/>
    <m/>
  </r>
  <r>
    <n v="990"/>
    <s v="Ron and Susan Krump Foundation_State Policy Network20161000"/>
    <x v="891"/>
    <x v="188"/>
    <x v="0"/>
    <n v="1000"/>
    <x v="4"/>
    <s v="added"/>
    <m/>
  </r>
  <r>
    <s v="https://projects.propublica.org/nonprofits/organizations/202007940/202113199349105211/IRS990PF"/>
    <s v="Sander Foundation_State Policy Network2020100"/>
    <x v="892"/>
    <x v="189"/>
    <x v="0"/>
    <n v="100"/>
    <x v="19"/>
    <s v="added"/>
    <m/>
  </r>
  <r>
    <n v="990"/>
    <s v="Sarah Scaife Foundation_State Policy Network2021475000"/>
    <x v="893"/>
    <x v="190"/>
    <x v="0"/>
    <n v="475000"/>
    <x v="18"/>
    <s v="added"/>
    <m/>
  </r>
  <r>
    <n v="990"/>
    <s v="Sarah Scaife Foundation_State Policy Network2020450000"/>
    <x v="894"/>
    <x v="190"/>
    <x v="0"/>
    <n v="450000"/>
    <x v="19"/>
    <s v="added"/>
    <m/>
  </r>
  <r>
    <s v="Annual Report"/>
    <s v="Sarah Scaife Foundation_State Policy Network2019450000"/>
    <x v="895"/>
    <x v="190"/>
    <x v="0"/>
    <n v="450000"/>
    <x v="1"/>
    <s v="added"/>
    <m/>
  </r>
  <r>
    <s v="Annual Report"/>
    <s v="Sarah Scaife Foundation_State Policy Network2018420000"/>
    <x v="896"/>
    <x v="190"/>
    <x v="0"/>
    <n v="420000"/>
    <x v="2"/>
    <s v="added"/>
    <m/>
  </r>
  <r>
    <n v="990"/>
    <s v="Sarah Scaife Foundation_State Policy Network2017220000"/>
    <x v="897"/>
    <x v="190"/>
    <x v="0"/>
    <n v="220000"/>
    <x v="3"/>
    <s v="added"/>
    <m/>
  </r>
  <r>
    <s v="Annual Report"/>
    <s v="Sarah Scaife Foundation_State Policy Network2016200000"/>
    <x v="898"/>
    <x v="190"/>
    <x v="0"/>
    <n v="200000"/>
    <x v="4"/>
    <s v="added"/>
    <m/>
  </r>
  <r>
    <s v="https://projects.propublica.org/nonprofits/organizations/311640316/202330939349300403/IRS990ScheduleI"/>
    <s v="Schwab Charitable Fund_State Policy Network202279300"/>
    <x v="899"/>
    <x v="191"/>
    <x v="0"/>
    <n v="79300"/>
    <x v="0"/>
    <s v="added"/>
    <m/>
  </r>
  <r>
    <s v="https://projects.propublica.org/nonprofits/organizations/311640316/202230499349301028/IRS990ScheduleI"/>
    <s v="Schwab Charitable Fund_State Policy Network202173250"/>
    <x v="900"/>
    <x v="191"/>
    <x v="0"/>
    <n v="73250"/>
    <x v="18"/>
    <s v="added"/>
    <m/>
  </r>
  <r>
    <s v="https://projects.propublica.org/nonprofits/organizations/311640316/202140489349301804/IRS990ScheduleI"/>
    <s v="Schwab Charitable Fund_State Policy Network202037875"/>
    <x v="901"/>
    <x v="191"/>
    <x v="0"/>
    <n v="37875"/>
    <x v="19"/>
    <s v="added"/>
    <m/>
  </r>
  <r>
    <s v="https://projects.propublica.org/nonprofits/organizations/311640316/202010489349300101/IRS990ScheduleI"/>
    <s v="Schwab Charitable Fund_State Policy Network201925525"/>
    <x v="902"/>
    <x v="191"/>
    <x v="0"/>
    <n v="25525"/>
    <x v="1"/>
    <s v="added"/>
    <m/>
  </r>
  <r>
    <s v="https://projects.propublica.org/nonprofits/organizations/311640316/201930459349302018/IRS990ScheduleI"/>
    <s v="Schwab Charitable Fund_State Policy Network201820075"/>
    <x v="903"/>
    <x v="191"/>
    <x v="0"/>
    <n v="20075"/>
    <x v="2"/>
    <s v="added"/>
    <m/>
  </r>
  <r>
    <s v="https://projects.propublica.org/nonprofits/organizations/311640316/201800879349300300/IRS990ScheduleI"/>
    <s v="Schwab Charitable Fund_State Policy Network201718175"/>
    <x v="904"/>
    <x v="191"/>
    <x v="0"/>
    <n v="18175"/>
    <x v="3"/>
    <s v="added"/>
    <m/>
  </r>
  <r>
    <s v="https://projects.propublica.org/nonprofits/organizations/311640316/201700559349300200/IRS990ScheduleI"/>
    <s v="Schwab Charitable Fund_State Policy Network201635025"/>
    <x v="905"/>
    <x v="191"/>
    <x v="0"/>
    <n v="35025"/>
    <x v="4"/>
    <s v="added"/>
    <m/>
  </r>
  <r>
    <s v="https://projects.propublica.org/nonprofits/organizations/311640316/201600859349300135/IRS990ScheduleI"/>
    <s v="Schwab Charitable Fund_State Policy Network20156950"/>
    <x v="906"/>
    <x v="191"/>
    <x v="0"/>
    <n v="6950"/>
    <x v="5"/>
    <s v="added"/>
    <m/>
  </r>
  <r>
    <s v="https://projects.propublica.org/nonprofits/organizations/300742331/201623159349100537/IRS990PF"/>
    <s v="Scott Family Foundation_State Policy Network20151000"/>
    <x v="907"/>
    <x v="192"/>
    <x v="0"/>
    <n v="1000"/>
    <x v="5"/>
    <s v="added"/>
    <m/>
  </r>
  <r>
    <n v="990"/>
    <s v="Searle Freedom Trust_State Policy Network2021296150"/>
    <x v="908"/>
    <x v="193"/>
    <x v="0"/>
    <n v="296150"/>
    <x v="18"/>
    <s v="added"/>
    <m/>
  </r>
  <r>
    <n v="990"/>
    <s v="Searle Freedom Trust_State Policy Network2021303500"/>
    <x v="908"/>
    <x v="193"/>
    <x v="0"/>
    <n v="303500"/>
    <x v="18"/>
    <s v="added"/>
    <m/>
  </r>
  <r>
    <n v="990"/>
    <s v="Searle Freedom Trust_State Policy Network202160000"/>
    <x v="908"/>
    <x v="193"/>
    <x v="0"/>
    <n v="60000"/>
    <x v="18"/>
    <s v="added"/>
    <m/>
  </r>
  <r>
    <n v="990"/>
    <s v="Searle Freedom Trust_State Policy Network2021330000"/>
    <x v="908"/>
    <x v="193"/>
    <x v="0"/>
    <n v="330000"/>
    <x v="18"/>
    <s v="added"/>
    <m/>
  </r>
  <r>
    <n v="990"/>
    <s v="Searle Freedom Trust_State Policy Network2020298000"/>
    <x v="909"/>
    <x v="193"/>
    <x v="0"/>
    <n v="298000"/>
    <x v="19"/>
    <s v="added"/>
    <m/>
  </r>
  <r>
    <n v="990"/>
    <s v="Searle Freedom Trust_State Policy Network2020300000"/>
    <x v="909"/>
    <x v="193"/>
    <x v="0"/>
    <n v="300000"/>
    <x v="19"/>
    <s v="added"/>
    <m/>
  </r>
  <r>
    <n v="990"/>
    <s v="Searle Freedom Trust_State Policy Network202060000"/>
    <x v="909"/>
    <x v="193"/>
    <x v="0"/>
    <n v="60000"/>
    <x v="19"/>
    <s v="added"/>
    <m/>
  </r>
  <r>
    <n v="990"/>
    <s v="Searle Freedom Trust_State Policy Network2020125000"/>
    <x v="909"/>
    <x v="193"/>
    <x v="0"/>
    <n v="125000"/>
    <x v="19"/>
    <s v="added"/>
    <m/>
  </r>
  <r>
    <n v="990"/>
    <s v="Searle Freedom Trust_State Policy Network2019350000"/>
    <x v="910"/>
    <x v="193"/>
    <x v="0"/>
    <n v="350000"/>
    <x v="1"/>
    <s v="added"/>
    <m/>
  </r>
  <r>
    <n v="990"/>
    <s v="Searle Freedom Trust_State Policy Network2019298768"/>
    <x v="910"/>
    <x v="193"/>
    <x v="0"/>
    <n v="298768"/>
    <x v="1"/>
    <s v="added"/>
    <m/>
  </r>
  <r>
    <n v="990"/>
    <s v="Searle Freedom Trust_State Policy Network2019300000"/>
    <x v="910"/>
    <x v="193"/>
    <x v="0"/>
    <n v="300000"/>
    <x v="1"/>
    <s v="added"/>
    <m/>
  </r>
  <r>
    <n v="990"/>
    <s v="Searle Freedom Trust_State Policy Network201960000"/>
    <x v="910"/>
    <x v="193"/>
    <x v="0"/>
    <n v="60000"/>
    <x v="1"/>
    <s v="added"/>
    <m/>
  </r>
  <r>
    <n v="990"/>
    <s v="Searle Freedom Trust_State Policy Network2018296100"/>
    <x v="911"/>
    <x v="193"/>
    <x v="0"/>
    <n v="296100"/>
    <x v="2"/>
    <s v="added"/>
    <m/>
  </r>
  <r>
    <n v="990"/>
    <s v="Searle Freedom Trust_State Policy Network201856000"/>
    <x v="911"/>
    <x v="193"/>
    <x v="0"/>
    <n v="56000"/>
    <x v="2"/>
    <s v="added"/>
    <m/>
  </r>
  <r>
    <n v="990"/>
    <s v="Searle Freedom Trust_State Policy Network2018350000"/>
    <x v="911"/>
    <x v="193"/>
    <x v="0"/>
    <n v="350000"/>
    <x v="2"/>
    <s v="added"/>
    <m/>
  </r>
  <r>
    <n v="990"/>
    <s v="Searle Freedom Trust_State Policy Network201875000"/>
    <x v="911"/>
    <x v="193"/>
    <x v="0"/>
    <n v="75000"/>
    <x v="2"/>
    <s v="added"/>
    <m/>
  </r>
  <r>
    <n v="990"/>
    <s v="Searle Freedom Trust_State Policy Network2017150000"/>
    <x v="912"/>
    <x v="193"/>
    <x v="0"/>
    <n v="150000"/>
    <x v="3"/>
    <s v="added"/>
    <m/>
  </r>
  <r>
    <n v="990"/>
    <s v="Searle Freedom Trust_State Policy Network201775000"/>
    <x v="912"/>
    <x v="193"/>
    <x v="0"/>
    <n v="75000"/>
    <x v="3"/>
    <s v="added"/>
    <m/>
  </r>
  <r>
    <n v="990"/>
    <s v="Searle Freedom Trust_State Policy Network2017300000"/>
    <x v="912"/>
    <x v="193"/>
    <x v="0"/>
    <n v="300000"/>
    <x v="3"/>
    <s v="added"/>
    <m/>
  </r>
  <r>
    <n v="990"/>
    <s v="Searle Freedom Trust_State Policy Network2017299900"/>
    <x v="912"/>
    <x v="193"/>
    <x v="0"/>
    <n v="299900"/>
    <x v="3"/>
    <s v="added"/>
    <m/>
  </r>
  <r>
    <n v="990"/>
    <s v="Searle Freedom Trust_State Policy Network201770000"/>
    <x v="912"/>
    <x v="193"/>
    <x v="0"/>
    <n v="70000"/>
    <x v="3"/>
    <s v="added"/>
    <m/>
  </r>
  <r>
    <n v="990"/>
    <s v="Searle Freedom Trust_State Policy Network2016150000"/>
    <x v="913"/>
    <x v="193"/>
    <x v="0"/>
    <n v="150000"/>
    <x v="4"/>
    <s v="added"/>
    <m/>
  </r>
  <r>
    <n v="990"/>
    <s v="Searle Freedom Trust_State Policy Network2016667375"/>
    <x v="913"/>
    <x v="193"/>
    <x v="0"/>
    <n v="667375"/>
    <x v="4"/>
    <s v="added"/>
    <m/>
  </r>
  <r>
    <n v="990"/>
    <s v="Searle Freedom Trust_State Policy Network201675000"/>
    <x v="913"/>
    <x v="193"/>
    <x v="0"/>
    <n v="75000"/>
    <x v="4"/>
    <s v="added"/>
    <m/>
  </r>
  <r>
    <n v="990"/>
    <s v="Searle Freedom Trust_State Policy Network2015966850"/>
    <x v="914"/>
    <x v="193"/>
    <x v="0"/>
    <n v="966850"/>
    <x v="5"/>
    <s v="added"/>
    <m/>
  </r>
  <r>
    <n v="990"/>
    <s v="Searle Freedom Trust_State Policy Network2014312500"/>
    <x v="915"/>
    <x v="193"/>
    <x v="0"/>
    <n v="312500"/>
    <x v="6"/>
    <s v="added"/>
    <m/>
  </r>
  <r>
    <n v="990"/>
    <s v="Searle Freedom Trust_State Policy Network201460000"/>
    <x v="915"/>
    <x v="193"/>
    <x v="0"/>
    <n v="60000"/>
    <x v="6"/>
    <s v="added"/>
    <m/>
  </r>
  <r>
    <n v="990"/>
    <s v="Searle Freedom Trust_State Policy Network2013632000"/>
    <x v="916"/>
    <x v="193"/>
    <x v="0"/>
    <n v="632000"/>
    <x v="7"/>
    <s v="added"/>
    <m/>
  </r>
  <r>
    <s v="CT2017"/>
    <s v="Searle Freedom Trust_State Policy Network201220000"/>
    <x v="917"/>
    <x v="193"/>
    <x v="0"/>
    <n v="20000"/>
    <x v="8"/>
    <s v="verified"/>
    <m/>
  </r>
  <r>
    <s v="CT2017"/>
    <s v="Searle Freedom Trust_State Policy Network2012200000"/>
    <x v="917"/>
    <x v="193"/>
    <x v="0"/>
    <n v="200000"/>
    <x v="8"/>
    <s v="verified"/>
    <m/>
  </r>
  <r>
    <s v="CT2017"/>
    <s v="Searle Freedom Trust_State Policy Network2012297000"/>
    <x v="917"/>
    <x v="193"/>
    <x v="0"/>
    <n v="297000"/>
    <x v="8"/>
    <s v="verified"/>
    <m/>
  </r>
  <r>
    <s v="CT2017"/>
    <s v="Searle Freedom Trust_State Policy Network201230000"/>
    <x v="917"/>
    <x v="193"/>
    <x v="0"/>
    <n v="30000"/>
    <x v="8"/>
    <s v="verified"/>
    <m/>
  </r>
  <r>
    <s v="CT2016"/>
    <s v="Searle Freedom Trust_State Policy Network2011165000"/>
    <x v="918"/>
    <x v="193"/>
    <x v="0"/>
    <n v="165000"/>
    <x v="9"/>
    <s v="verified"/>
    <m/>
  </r>
  <r>
    <s v="CT2016"/>
    <s v="Searle Freedom Trust_State Policy Network2011299000"/>
    <x v="918"/>
    <x v="193"/>
    <x v="0"/>
    <n v="299000"/>
    <x v="9"/>
    <s v="verified"/>
    <m/>
  </r>
  <r>
    <s v="CT2016"/>
    <s v="Searle Freedom Trust_State Policy Network2010291500"/>
    <x v="919"/>
    <x v="193"/>
    <x v="0"/>
    <n v="291500"/>
    <x v="10"/>
    <s v="verified"/>
    <m/>
  </r>
  <r>
    <s v="CT2016"/>
    <s v="Searle Freedom Trust_State Policy Network201030000"/>
    <x v="919"/>
    <x v="193"/>
    <x v="0"/>
    <n v="30000"/>
    <x v="10"/>
    <s v="verified"/>
    <m/>
  </r>
  <r>
    <s v="CT2016"/>
    <s v="Searle Freedom Trust_State Policy Network201050000"/>
    <x v="919"/>
    <x v="193"/>
    <x v="0"/>
    <n v="50000"/>
    <x v="10"/>
    <s v="verified"/>
    <m/>
  </r>
  <r>
    <s v="CT2016"/>
    <s v="Searle Freedom Trust_State Policy Network2009296000"/>
    <x v="920"/>
    <x v="193"/>
    <x v="0"/>
    <n v="296000"/>
    <x v="11"/>
    <s v="verified"/>
    <m/>
  </r>
  <r>
    <s v="CT2016"/>
    <s v="Searle Freedom Trust_State Policy Network200945000"/>
    <x v="920"/>
    <x v="193"/>
    <x v="0"/>
    <n v="45000"/>
    <x v="11"/>
    <s v="verified"/>
    <m/>
  </r>
  <r>
    <s v="CT2016"/>
    <s v="Searle Freedom Trust_State Policy Network200830000"/>
    <x v="921"/>
    <x v="193"/>
    <x v="0"/>
    <n v="30000"/>
    <x v="12"/>
    <s v="verified"/>
    <m/>
  </r>
  <r>
    <s v="CT2016"/>
    <s v="Searle Freedom Trust_State Policy Network200830000"/>
    <x v="921"/>
    <x v="193"/>
    <x v="0"/>
    <n v="30000"/>
    <x v="12"/>
    <s v="verified"/>
    <m/>
  </r>
  <r>
    <s v="CT2016"/>
    <s v="Searle Freedom Trust_State Policy Network2008300000"/>
    <x v="921"/>
    <x v="193"/>
    <x v="0"/>
    <n v="300000"/>
    <x v="12"/>
    <s v="verified"/>
    <m/>
  </r>
  <r>
    <s v="CT2016"/>
    <s v="Searle Freedom Trust_State Policy Network200725000"/>
    <x v="922"/>
    <x v="193"/>
    <x v="0"/>
    <n v="25000"/>
    <x v="13"/>
    <s v="verified"/>
    <m/>
  </r>
  <r>
    <s v="CT2016"/>
    <s v="Searle Freedom Trust_State Policy Network200730000"/>
    <x v="922"/>
    <x v="193"/>
    <x v="0"/>
    <n v="30000"/>
    <x v="13"/>
    <s v="verified"/>
    <m/>
  </r>
  <r>
    <s v="CT2016"/>
    <s v="Searle Freedom Trust_State Policy Network2007300000"/>
    <x v="922"/>
    <x v="193"/>
    <x v="0"/>
    <n v="300000"/>
    <x v="13"/>
    <s v="verified"/>
    <m/>
  </r>
  <r>
    <s v="CT2016"/>
    <s v="Searle Freedom Trust_State Policy Network2006216000"/>
    <x v="923"/>
    <x v="193"/>
    <x v="0"/>
    <n v="216000"/>
    <x v="14"/>
    <s v="verified"/>
    <m/>
  </r>
  <r>
    <s v="CT2016"/>
    <s v="Searle Freedom Trust_State Policy Network200625000"/>
    <x v="923"/>
    <x v="193"/>
    <x v="0"/>
    <n v="25000"/>
    <x v="14"/>
    <s v="verified"/>
    <m/>
  </r>
  <r>
    <s v="CT2016"/>
    <s v="Searle Freedom Trust_State Policy Network20067500"/>
    <x v="923"/>
    <x v="193"/>
    <x v="0"/>
    <n v="7500"/>
    <x v="14"/>
    <s v="verified"/>
    <m/>
  </r>
  <r>
    <s v="CT2016"/>
    <s v="Searle Freedom Trust_State Policy Network200415000"/>
    <x v="924"/>
    <x v="193"/>
    <x v="0"/>
    <n v="15000"/>
    <x v="16"/>
    <s v="verified"/>
    <m/>
  </r>
  <r>
    <s v="https://projects.propublica.org/nonprofits/organizations/916013536/202233199349311048/IRS990ScheduleI"/>
    <s v="Seattle Foundation_State Policy Network202110000"/>
    <x v="925"/>
    <x v="194"/>
    <x v="0"/>
    <n v="10000"/>
    <x v="18"/>
    <s v="added"/>
    <m/>
  </r>
  <r>
    <s v="https://projects.propublica.org/nonprofits/organizations/916013536/202113029349301626/IRS990ScheduleI"/>
    <s v="Seattle Foundation_State Policy Network202010000"/>
    <x v="926"/>
    <x v="194"/>
    <x v="0"/>
    <n v="10000"/>
    <x v="19"/>
    <s v="added"/>
    <m/>
  </r>
  <r>
    <s v="https://projects.propublica.org/nonprofits/organizations/916013536/202042619349300329/IRS990ScheduleI"/>
    <s v="Seattle Foundation_State Policy Network201910000"/>
    <x v="927"/>
    <x v="194"/>
    <x v="0"/>
    <n v="10000"/>
    <x v="1"/>
    <s v="added"/>
    <m/>
  </r>
  <r>
    <s v="https://projects.propublica.org/nonprofits/organizations/916013536/201912699349301031/IRS990ScheduleI"/>
    <s v="Seattle Foundation_State Policy Network201810000"/>
    <x v="928"/>
    <x v="194"/>
    <x v="0"/>
    <n v="10000"/>
    <x v="2"/>
    <s v="added"/>
    <m/>
  </r>
  <r>
    <s v="https://projects.propublica.org/nonprofits/organizations/136066583/202223149349100917/IRS990PF"/>
    <s v="Shell Oil Company Foundation_State Policy Network2021100"/>
    <x v="929"/>
    <x v="195"/>
    <x v="0"/>
    <n v="100"/>
    <x v="18"/>
    <s v="added"/>
    <m/>
  </r>
  <r>
    <n v="990"/>
    <s v="Shell Oil Company Foundation_State Policy Network2019150"/>
    <x v="930"/>
    <x v="195"/>
    <x v="0"/>
    <n v="150"/>
    <x v="1"/>
    <s v="added"/>
    <m/>
  </r>
  <r>
    <s v="https://projects.propublica.org/nonprofits/organizations/136066583/201903109349100200/IRS990PF"/>
    <s v="Shell Oil Company Foundation_State Policy Network2018100"/>
    <x v="931"/>
    <x v="195"/>
    <x v="0"/>
    <n v="100"/>
    <x v="2"/>
    <s v="added"/>
    <m/>
  </r>
  <r>
    <s v="https://projects.propublica.org/nonprofits/organizations/136066583/201733129349100138/IRS990PF"/>
    <s v="Shell Oil Company Foundation_State Policy Network201630"/>
    <x v="932"/>
    <x v="195"/>
    <x v="0"/>
    <n v="30"/>
    <x v="4"/>
    <s v="added"/>
    <m/>
  </r>
  <r>
    <s v="https://projects.propublica.org/nonprofits/organizations/136066583/201532899349100503/IRS990PF"/>
    <s v="Shell Oil Company Foundation_State Policy Network2014130"/>
    <x v="933"/>
    <x v="195"/>
    <x v="0"/>
    <n v="130"/>
    <x v="6"/>
    <s v="added"/>
    <m/>
  </r>
  <r>
    <s v="https://projects.propublica.org/nonprofits/organizations/382092191/202131809349100118/IRS990PF"/>
    <s v="Shepherds Hand_State Policy Network20201000"/>
    <x v="934"/>
    <x v="196"/>
    <x v="0"/>
    <n v="1000"/>
    <x v="19"/>
    <s v="added"/>
    <m/>
  </r>
  <r>
    <s v="https://projects.propublica.org/nonprofits/organizations/382092191/202032309349100238/IRS990PF"/>
    <s v="Shepherds Hand_State Policy Network20192000"/>
    <x v="935"/>
    <x v="196"/>
    <x v="0"/>
    <n v="2000"/>
    <x v="1"/>
    <s v="added"/>
    <m/>
  </r>
  <r>
    <s v="https://projects.propublica.org/nonprofits/organizations/382092191/201941929349100109/IRS990PF"/>
    <s v="Shepherds Hand_State Policy Network20182000"/>
    <x v="936"/>
    <x v="196"/>
    <x v="0"/>
    <n v="2000"/>
    <x v="2"/>
    <s v="added"/>
    <m/>
  </r>
  <r>
    <s v="https://projects.propublica.org/nonprofits/display_990/382092191/IRS%2F382092191_201612_990PF_2017061414519045"/>
    <s v="Shepherds Hand_State Policy Network2016500"/>
    <x v="937"/>
    <x v="196"/>
    <x v="0"/>
    <n v="500"/>
    <x v="4"/>
    <s v="added"/>
    <m/>
  </r>
  <r>
    <s v="https://projects.propublica.org/nonprofits/display_990/382092191/2014_09_PF%2F38-2092191_990PF_201312"/>
    <s v="Shepherds Hand_State Policy Network20132000"/>
    <x v="938"/>
    <x v="196"/>
    <x v="0"/>
    <n v="2000"/>
    <x v="7"/>
    <s v="added"/>
    <m/>
  </r>
  <r>
    <s v="https://projects.propublica.org/nonprofits/organizations/541871352/201902069349100500/IRS990PF"/>
    <s v="Short Family Foundation_State Policy Network2018250"/>
    <x v="939"/>
    <x v="197"/>
    <x v="0"/>
    <n v="250"/>
    <x v="2"/>
    <s v="added"/>
    <m/>
  </r>
  <r>
    <s v="https://projects.propublica.org/nonprofits/organizations/232047668/202043179349101224/IRS990PF"/>
    <s v="Snider Foundation_State Policy Network20201000"/>
    <x v="940"/>
    <x v="198"/>
    <x v="0"/>
    <n v="1000"/>
    <x v="19"/>
    <s v="added"/>
    <m/>
  </r>
  <r>
    <n v="990"/>
    <s v="State Policy Network_Alaska Policy Forum2022175000"/>
    <x v="941"/>
    <x v="199"/>
    <x v="1"/>
    <n v="175000"/>
    <x v="0"/>
    <s v="added"/>
    <m/>
  </r>
  <r>
    <n v="990"/>
    <s v="State Policy Network_Asu Prep Global Academy202237500"/>
    <x v="941"/>
    <x v="199"/>
    <x v="2"/>
    <n v="37500"/>
    <x v="0"/>
    <s v="added"/>
    <m/>
  </r>
  <r>
    <n v="990"/>
    <s v="State Policy Network_Badger Institute202279000"/>
    <x v="941"/>
    <x v="199"/>
    <x v="3"/>
    <n v="79000"/>
    <x v="0"/>
    <s v="added"/>
    <m/>
  </r>
  <r>
    <n v="990"/>
    <s v="State Policy Network_Beacon Center of Tennessee2022318500"/>
    <x v="941"/>
    <x v="199"/>
    <x v="4"/>
    <n v="318500"/>
    <x v="0"/>
    <s v="added"/>
    <m/>
  </r>
  <r>
    <n v="990"/>
    <s v="State Policy Network_California Policy Center2022107188"/>
    <x v="941"/>
    <x v="199"/>
    <x v="5"/>
    <n v="107188"/>
    <x v="0"/>
    <s v="added"/>
    <m/>
  </r>
  <r>
    <n v="990"/>
    <s v="State Policy Network_Cardinal Institute for West Virginia Policy2022397000"/>
    <x v="941"/>
    <x v="199"/>
    <x v="6"/>
    <n v="397000"/>
    <x v="0"/>
    <s v="added"/>
    <m/>
  </r>
  <r>
    <n v="990"/>
    <s v="State Policy Network_Cascade Policy Institute2022129500"/>
    <x v="941"/>
    <x v="199"/>
    <x v="7"/>
    <n v="129500"/>
    <x v="0"/>
    <s v="added"/>
    <m/>
  </r>
  <r>
    <n v="990"/>
    <s v="State Policy Network_Center for Law and Policy202250000"/>
    <x v="941"/>
    <x v="199"/>
    <x v="8"/>
    <n v="50000"/>
    <x v="0"/>
    <s v="added"/>
    <m/>
  </r>
  <r>
    <n v="990"/>
    <s v="State Policy Network_Center of the American Experiment2022125000"/>
    <x v="941"/>
    <x v="199"/>
    <x v="9"/>
    <n v="125000"/>
    <x v="0"/>
    <s v="added"/>
    <m/>
  </r>
  <r>
    <n v="990"/>
    <s v="State Policy Network_Commonwealth Foundation for Public Policy Alternatives2022100000"/>
    <x v="941"/>
    <x v="199"/>
    <x v="10"/>
    <n v="100000"/>
    <x v="0"/>
    <s v="added"/>
    <m/>
  </r>
  <r>
    <n v="990"/>
    <s v="State Policy Network_Empire Center for Public Policy2022140000"/>
    <x v="941"/>
    <x v="199"/>
    <x v="11"/>
    <n v="140000"/>
    <x v="0"/>
    <s v="added"/>
    <m/>
  </r>
  <r>
    <n v="990"/>
    <s v="State Policy Network_Empower Mississippi Foundation2022130000"/>
    <x v="941"/>
    <x v="199"/>
    <x v="12"/>
    <n v="130000"/>
    <x v="0"/>
    <s v="added"/>
    <m/>
  </r>
  <r>
    <n v="990"/>
    <s v="State Policy Network_Foundation for Government Accountability2022195000"/>
    <x v="941"/>
    <x v="199"/>
    <x v="13"/>
    <n v="195000"/>
    <x v="0"/>
    <s v="added"/>
    <m/>
  </r>
  <r>
    <n v="990"/>
    <s v="State Policy Network_Evergreen Freedom Foundation2022100000"/>
    <x v="941"/>
    <x v="199"/>
    <x v="14"/>
    <n v="100000"/>
    <x v="0"/>
    <s v="added"/>
    <m/>
  </r>
  <r>
    <n v="990"/>
    <s v="State Policy Network_Georgia Center for Opportunity2022311000"/>
    <x v="941"/>
    <x v="199"/>
    <x v="15"/>
    <n v="311000"/>
    <x v="0"/>
    <s v="added"/>
    <m/>
  </r>
  <r>
    <n v="990"/>
    <s v="State Policy Network_Georgia Public Policy Foundation2022215000"/>
    <x v="941"/>
    <x v="199"/>
    <x v="16"/>
    <n v="215000"/>
    <x v="0"/>
    <s v="added"/>
    <m/>
  </r>
  <r>
    <n v="990"/>
    <s v="State Policy Network_Goldwater Institute for Public Policy202275000"/>
    <x v="941"/>
    <x v="199"/>
    <x v="17"/>
    <n v="75000"/>
    <x v="0"/>
    <s v="added"/>
    <m/>
  </r>
  <r>
    <n v="990"/>
    <s v="State Policy Network_Grassroots Institute of Hawaii202255500"/>
    <x v="941"/>
    <x v="199"/>
    <x v="18"/>
    <n v="55500"/>
    <x v="0"/>
    <s v="added"/>
    <m/>
  </r>
  <r>
    <n v="990"/>
    <s v="State Policy Network_Greathearts Foundation202237500"/>
    <x v="941"/>
    <x v="199"/>
    <x v="19"/>
    <n v="37500"/>
    <x v="0"/>
    <s v="added"/>
    <m/>
  </r>
  <r>
    <n v="990"/>
    <s v="State Policy Network_Hearts of Empowerment Inc202250736"/>
    <x v="941"/>
    <x v="199"/>
    <x v="20"/>
    <n v="50736"/>
    <x v="0"/>
    <s v="added"/>
    <m/>
  </r>
  <r>
    <n v="990"/>
    <s v="State Policy Network_Illinois Policy Institute202250000"/>
    <x v="941"/>
    <x v="199"/>
    <x v="21"/>
    <n v="50000"/>
    <x v="0"/>
    <s v="added"/>
    <m/>
  </r>
  <r>
    <n v="990"/>
    <s v="State Policy Network_Independence Institute2022152500"/>
    <x v="941"/>
    <x v="199"/>
    <x v="22"/>
    <n v="152500"/>
    <x v="0"/>
    <s v="added"/>
    <m/>
  </r>
  <r>
    <n v="990"/>
    <s v="State Policy Network_Inspired Life Inc2022125000"/>
    <x v="941"/>
    <x v="199"/>
    <x v="23"/>
    <n v="125000"/>
    <x v="0"/>
    <s v="added"/>
    <m/>
  </r>
  <r>
    <n v="990"/>
    <s v="State Policy Network_Institute for Reforming Government2022267000"/>
    <x v="941"/>
    <x v="199"/>
    <x v="24"/>
    <n v="267000"/>
    <x v="0"/>
    <s v="added"/>
    <m/>
  </r>
  <r>
    <n v="990"/>
    <s v="State Policy Network_Iowans for Tax Relief Foundation202222400"/>
    <x v="941"/>
    <x v="199"/>
    <x v="25"/>
    <n v="22400"/>
    <x v="0"/>
    <s v="added"/>
    <m/>
  </r>
  <r>
    <n v="990"/>
    <s v="State Policy Network_John Locke Foundation202280000"/>
    <x v="941"/>
    <x v="199"/>
    <x v="26"/>
    <n v="80000"/>
    <x v="0"/>
    <s v="added"/>
    <m/>
  </r>
  <r>
    <n v="990"/>
    <s v="State Policy Network_Josiah Bartlett Center for Public Policy202275000"/>
    <x v="941"/>
    <x v="199"/>
    <x v="27"/>
    <n v="75000"/>
    <x v="0"/>
    <s v="added"/>
    <m/>
  </r>
  <r>
    <n v="990"/>
    <s v="State Policy Network_Kansas Policy Institute2022132500"/>
    <x v="941"/>
    <x v="199"/>
    <x v="28"/>
    <n v="132500"/>
    <x v="0"/>
    <s v="added"/>
    <m/>
  </r>
  <r>
    <n v="990"/>
    <s v="State Policy Network_Libertas Institute2022240000"/>
    <x v="941"/>
    <x v="199"/>
    <x v="29"/>
    <n v="240000"/>
    <x v="0"/>
    <s v="added"/>
    <m/>
  </r>
  <r>
    <n v="990"/>
    <s v="State Policy Network_Mackinac Center for Public Policy2022100000"/>
    <x v="941"/>
    <x v="199"/>
    <x v="30"/>
    <n v="100000"/>
    <x v="0"/>
    <s v="added"/>
    <m/>
  </r>
  <r>
    <n v="990"/>
    <s v="State Policy Network_Mississippi Center for Public Policy202250000"/>
    <x v="941"/>
    <x v="199"/>
    <x v="31"/>
    <n v="50000"/>
    <x v="0"/>
    <s v="added"/>
    <m/>
  </r>
  <r>
    <n v="990"/>
    <s v="State Policy Network_Oklahoma Council of Public Affairs202270000"/>
    <x v="941"/>
    <x v="199"/>
    <x v="32"/>
    <n v="70000"/>
    <x v="0"/>
    <s v="added"/>
    <m/>
  </r>
  <r>
    <n v="990"/>
    <s v="State Policy Network_Opportunity Arkansas202223000"/>
    <x v="941"/>
    <x v="199"/>
    <x v="33"/>
    <n v="23000"/>
    <x v="0"/>
    <s v="added"/>
    <m/>
  </r>
  <r>
    <n v="990"/>
    <s v="State Policy Network_Palmetto Promise Institute202210000"/>
    <x v="941"/>
    <x v="199"/>
    <x v="34"/>
    <n v="10000"/>
    <x v="0"/>
    <s v="added"/>
    <m/>
  </r>
  <r>
    <n v="990"/>
    <s v="State Policy Network_Pelican Institute for Public Policy2022350000"/>
    <x v="941"/>
    <x v="199"/>
    <x v="35"/>
    <n v="350000"/>
    <x v="0"/>
    <s v="added"/>
    <m/>
  </r>
  <r>
    <n v="990"/>
    <s v="State Policy Network_People United for Privacy Foundation2022255000"/>
    <x v="941"/>
    <x v="199"/>
    <x v="36"/>
    <n v="255000"/>
    <x v="0"/>
    <s v="added"/>
    <m/>
  </r>
  <r>
    <n v="990"/>
    <s v="State Policy Network_Pioneer Institute for Public Policy Research2022230000"/>
    <x v="941"/>
    <x v="199"/>
    <x v="37"/>
    <n v="230000"/>
    <x v="0"/>
    <s v="added"/>
    <m/>
  </r>
  <r>
    <n v="990"/>
    <s v="State Policy Network_Platte Institute for Economic Research2022165000"/>
    <x v="941"/>
    <x v="199"/>
    <x v="38"/>
    <n v="165000"/>
    <x v="0"/>
    <s v="added"/>
    <m/>
  </r>
  <r>
    <n v="990"/>
    <s v="State Policy Network_Reschool202250000"/>
    <x v="941"/>
    <x v="199"/>
    <x v="39"/>
    <n v="50000"/>
    <x v="0"/>
    <s v="added"/>
    <m/>
  </r>
  <r>
    <n v="990"/>
    <s v="State Policy Network_South Carolina Policy Council2022313000"/>
    <x v="941"/>
    <x v="199"/>
    <x v="40"/>
    <n v="313000"/>
    <x v="0"/>
    <s v="added"/>
    <m/>
  </r>
  <r>
    <n v="990"/>
    <s v="State Policy Network_Texas Public Policy Foundation2022135000"/>
    <x v="941"/>
    <x v="199"/>
    <x v="41"/>
    <n v="135000"/>
    <x v="0"/>
    <s v="added"/>
    <m/>
  </r>
  <r>
    <n v="990"/>
    <s v="State Policy Network_Buckeye Institute for Public Policy Solutions2022210000"/>
    <x v="941"/>
    <x v="199"/>
    <x v="42"/>
    <n v="210000"/>
    <x v="0"/>
    <s v="added"/>
    <m/>
  </r>
  <r>
    <n v="990"/>
    <s v="State Policy Network_James Madison Institute202272000"/>
    <x v="941"/>
    <x v="199"/>
    <x v="43"/>
    <n v="72000"/>
    <x v="0"/>
    <s v="added"/>
    <m/>
  </r>
  <r>
    <n v="990"/>
    <s v="State Policy Network_Show-Me Institute202250000"/>
    <x v="941"/>
    <x v="199"/>
    <x v="44"/>
    <n v="50000"/>
    <x v="0"/>
    <s v="added"/>
    <m/>
  </r>
  <r>
    <n v="990"/>
    <s v="State Policy Network_Thomas Jefferson Institute202235000"/>
    <x v="941"/>
    <x v="199"/>
    <x v="45"/>
    <n v="35000"/>
    <x v="0"/>
    <s v="added"/>
    <m/>
  </r>
  <r>
    <n v="990"/>
    <s v="State Policy Network_Wisconsin Institute for Law &amp; Liberty202250000"/>
    <x v="941"/>
    <x v="199"/>
    <x v="46"/>
    <n v="50000"/>
    <x v="0"/>
    <s v="added"/>
    <m/>
  </r>
  <r>
    <n v="990"/>
    <s v="State Policy Network_Yankee Institute for Public Policy2022100000"/>
    <x v="941"/>
    <x v="199"/>
    <x v="47"/>
    <n v="100000"/>
    <x v="0"/>
    <s v="added"/>
    <m/>
  </r>
  <r>
    <n v="990"/>
    <s v="State Policy Network_Georgia Center for Opportunity2021250000"/>
    <x v="942"/>
    <x v="199"/>
    <x v="15"/>
    <n v="250000"/>
    <x v="18"/>
    <s v="added"/>
    <m/>
  </r>
  <r>
    <n v="990"/>
    <s v="State Policy Network_Commonwealth Foundation for Public Policy Alternatives2021150000"/>
    <x v="942"/>
    <x v="199"/>
    <x v="10"/>
    <n v="150000"/>
    <x v="18"/>
    <s v="added"/>
    <m/>
  </r>
  <r>
    <n v="990"/>
    <s v="State Policy Network_Foundation for Government Accountability2021150000"/>
    <x v="942"/>
    <x v="199"/>
    <x v="13"/>
    <n v="150000"/>
    <x v="18"/>
    <s v="added"/>
    <m/>
  </r>
  <r>
    <n v="990"/>
    <s v="State Policy Network_Illinois Policy Institute2021150000"/>
    <x v="942"/>
    <x v="199"/>
    <x v="21"/>
    <n v="150000"/>
    <x v="18"/>
    <s v="added"/>
    <m/>
  </r>
  <r>
    <n v="990"/>
    <s v="State Policy Network_Institute for Reforming Government2021150000"/>
    <x v="942"/>
    <x v="199"/>
    <x v="24"/>
    <n v="150000"/>
    <x v="18"/>
    <s v="added"/>
    <m/>
  </r>
  <r>
    <n v="990"/>
    <s v="State Policy Network_John Locke Foundation2021150000"/>
    <x v="942"/>
    <x v="199"/>
    <x v="26"/>
    <n v="150000"/>
    <x v="18"/>
    <s v="added"/>
    <m/>
  </r>
  <r>
    <n v="990"/>
    <s v="State Policy Network_Mackinac Center for Public Policy2021150000"/>
    <x v="942"/>
    <x v="199"/>
    <x v="30"/>
    <n v="150000"/>
    <x v="18"/>
    <s v="added"/>
    <m/>
  </r>
  <r>
    <n v="990"/>
    <s v="State Policy Network_Oklahoma Council of Public Affairs2021150000"/>
    <x v="942"/>
    <x v="199"/>
    <x v="32"/>
    <n v="150000"/>
    <x v="18"/>
    <s v="added"/>
    <m/>
  </r>
  <r>
    <n v="990"/>
    <s v="State Policy Network_People United for Privacy Foundation2021150000"/>
    <x v="942"/>
    <x v="199"/>
    <x v="36"/>
    <n v="150000"/>
    <x v="18"/>
    <s v="added"/>
    <m/>
  </r>
  <r>
    <n v="990"/>
    <s v="State Policy Network_Buckeye Institute for Public Policy Solutions2021150000"/>
    <x v="942"/>
    <x v="199"/>
    <x v="42"/>
    <n v="150000"/>
    <x v="18"/>
    <s v="added"/>
    <m/>
  </r>
  <r>
    <n v="990"/>
    <s v="State Policy Network_Independence Institute2021147500"/>
    <x v="942"/>
    <x v="199"/>
    <x v="22"/>
    <n v="147500"/>
    <x v="18"/>
    <s v="added"/>
    <m/>
  </r>
  <r>
    <n v="990"/>
    <s v="State Policy Network_California Policy Center2021143500"/>
    <x v="942"/>
    <x v="199"/>
    <x v="5"/>
    <n v="143500"/>
    <x v="18"/>
    <s v="added"/>
    <m/>
  </r>
  <r>
    <n v="990"/>
    <s v="State Policy Network_Pioneer Institute for Public Policy Research2021143000"/>
    <x v="942"/>
    <x v="199"/>
    <x v="37"/>
    <n v="143000"/>
    <x v="18"/>
    <s v="added"/>
    <m/>
  </r>
  <r>
    <n v="990"/>
    <s v="State Policy Network_Beacon Center of Tennessee2021134500"/>
    <x v="942"/>
    <x v="199"/>
    <x v="4"/>
    <n v="134500"/>
    <x v="18"/>
    <s v="added"/>
    <m/>
  </r>
  <r>
    <n v="990"/>
    <s v="State Policy Network_Beacon Center of Tennessee2021134000"/>
    <x v="942"/>
    <x v="199"/>
    <x v="4"/>
    <n v="134000"/>
    <x v="18"/>
    <s v="added"/>
    <m/>
  </r>
  <r>
    <n v="990"/>
    <s v="State Policy Network_Empower Mississippi Foundation2021126250"/>
    <x v="942"/>
    <x v="199"/>
    <x v="12"/>
    <n v="126250"/>
    <x v="18"/>
    <s v="added"/>
    <m/>
  </r>
  <r>
    <n v="990"/>
    <s v="State Policy Network_James Madison Institute2021125000"/>
    <x v="942"/>
    <x v="199"/>
    <x v="43"/>
    <n v="125000"/>
    <x v="18"/>
    <s v="added"/>
    <m/>
  </r>
  <r>
    <n v="990"/>
    <s v="State Policy Network_Cardinal Institute for West Virginia Policy2021120000"/>
    <x v="942"/>
    <x v="199"/>
    <x v="6"/>
    <n v="120000"/>
    <x v="18"/>
    <s v="added"/>
    <m/>
  </r>
  <r>
    <n v="990"/>
    <s v="State Policy Network_Libertas Institute2021120000"/>
    <x v="942"/>
    <x v="199"/>
    <x v="29"/>
    <n v="120000"/>
    <x v="18"/>
    <s v="added"/>
    <m/>
  </r>
  <r>
    <n v="990"/>
    <s v="State Policy Network_Georgia Center for Opportunity2021110000"/>
    <x v="942"/>
    <x v="199"/>
    <x v="15"/>
    <n v="110000"/>
    <x v="18"/>
    <s v="added"/>
    <m/>
  </r>
  <r>
    <n v="990"/>
    <s v="State Policy Network_Georgia Public Policy Foundation2021107500"/>
    <x v="942"/>
    <x v="199"/>
    <x v="16"/>
    <n v="107500"/>
    <x v="18"/>
    <s v="added"/>
    <m/>
  </r>
  <r>
    <n v="990"/>
    <s v="State Policy Network_Cardinal Institute for West Virginia Policy2021100000"/>
    <x v="942"/>
    <x v="199"/>
    <x v="6"/>
    <n v="100000"/>
    <x v="18"/>
    <s v="added"/>
    <m/>
  </r>
  <r>
    <n v="990"/>
    <s v="State Policy Network_Goldwater Institute for Public Policy2021100000"/>
    <x v="942"/>
    <x v="199"/>
    <x v="17"/>
    <n v="100000"/>
    <x v="18"/>
    <s v="added"/>
    <m/>
  </r>
  <r>
    <n v="990"/>
    <s v="State Policy Network_People United for Privacy Foundation2021100000"/>
    <x v="942"/>
    <x v="199"/>
    <x v="36"/>
    <n v="100000"/>
    <x v="18"/>
    <s v="added"/>
    <m/>
  </r>
  <r>
    <n v="990"/>
    <s v="State Policy Network_Platte Institute for Economic Research2021100000"/>
    <x v="942"/>
    <x v="199"/>
    <x v="38"/>
    <n v="100000"/>
    <x v="18"/>
    <s v="added"/>
    <m/>
  </r>
  <r>
    <n v="990"/>
    <s v="State Policy Network_Buckeye Institute for Public Policy Solutions2021100000"/>
    <x v="942"/>
    <x v="199"/>
    <x v="42"/>
    <n v="100000"/>
    <x v="18"/>
    <s v="added"/>
    <m/>
  </r>
  <r>
    <n v="990"/>
    <s v="State Policy Network_Maine Policy Institute202180000"/>
    <x v="942"/>
    <x v="199"/>
    <x v="48"/>
    <n v="80000"/>
    <x v="18"/>
    <s v="added"/>
    <m/>
  </r>
  <r>
    <n v="990"/>
    <s v="State Policy Network_Alabama Policy Institute202150000"/>
    <x v="942"/>
    <x v="199"/>
    <x v="49"/>
    <n v="50000"/>
    <x v="18"/>
    <s v="added"/>
    <m/>
  </r>
  <r>
    <n v="990"/>
    <s v="State Policy Network_Badger Institute202150000"/>
    <x v="942"/>
    <x v="199"/>
    <x v="3"/>
    <n v="50000"/>
    <x v="18"/>
    <s v="added"/>
    <m/>
  </r>
  <r>
    <n v="990"/>
    <s v="State Policy Network_Goldwater Institute for Public Policy202150000"/>
    <x v="942"/>
    <x v="199"/>
    <x v="17"/>
    <n v="50000"/>
    <x v="18"/>
    <s v="added"/>
    <m/>
  </r>
  <r>
    <n v="990"/>
    <s v="State Policy Network_Institute for Reforming Government202150000"/>
    <x v="942"/>
    <x v="199"/>
    <x v="24"/>
    <n v="50000"/>
    <x v="18"/>
    <s v="added"/>
    <m/>
  </r>
  <r>
    <n v="990"/>
    <s v="State Policy Network_Show-Me Institute202150000"/>
    <x v="942"/>
    <x v="199"/>
    <x v="44"/>
    <n v="50000"/>
    <x v="18"/>
    <s v="added"/>
    <m/>
  </r>
  <r>
    <n v="990"/>
    <s v="State Policy Network_Wisconsin Institute for Law &amp; Liberty202150000"/>
    <x v="942"/>
    <x v="199"/>
    <x v="46"/>
    <n v="50000"/>
    <x v="18"/>
    <s v="added"/>
    <m/>
  </r>
  <r>
    <n v="990"/>
    <s v="State Policy Network_Beacon Center of Tennessee202145000"/>
    <x v="942"/>
    <x v="199"/>
    <x v="4"/>
    <n v="45000"/>
    <x v="18"/>
    <s v="added"/>
    <m/>
  </r>
  <r>
    <n v="990"/>
    <s v="State Policy Network_Wisconsin Institute for Law &amp; Liberty202135150"/>
    <x v="942"/>
    <x v="199"/>
    <x v="46"/>
    <n v="35150"/>
    <x v="18"/>
    <s v="added"/>
    <m/>
  </r>
  <r>
    <n v="990"/>
    <s v="State Policy Network_Georgia Public Policy Foundation202125000"/>
    <x v="942"/>
    <x v="199"/>
    <x v="16"/>
    <n v="25000"/>
    <x v="18"/>
    <s v="added"/>
    <m/>
  </r>
  <r>
    <n v="990"/>
    <s v="State Policy Network_James Madison Institute202125000"/>
    <x v="942"/>
    <x v="199"/>
    <x v="43"/>
    <n v="25000"/>
    <x v="18"/>
    <s v="added"/>
    <m/>
  </r>
  <r>
    <n v="990"/>
    <s v="State Policy Network_Buckeye Institute for Public Policy Solutions202125000"/>
    <x v="942"/>
    <x v="199"/>
    <x v="42"/>
    <n v="25000"/>
    <x v="18"/>
    <s v="added"/>
    <m/>
  </r>
  <r>
    <n v="990"/>
    <s v="State Policy Network_James Madison Institute202123500"/>
    <x v="942"/>
    <x v="199"/>
    <x v="43"/>
    <n v="23500"/>
    <x v="18"/>
    <s v="added"/>
    <m/>
  </r>
  <r>
    <n v="990"/>
    <s v="State Policy Network_Alaska Policy Forum202115000"/>
    <x v="942"/>
    <x v="199"/>
    <x v="1"/>
    <n v="15000"/>
    <x v="18"/>
    <s v="added"/>
    <m/>
  </r>
  <r>
    <n v="990"/>
    <s v="State Policy Network_Platte Institute for Economic Research202115000"/>
    <x v="942"/>
    <x v="199"/>
    <x v="38"/>
    <n v="15000"/>
    <x v="18"/>
    <s v="added"/>
    <m/>
  </r>
  <r>
    <n v="990"/>
    <s v="State Policy Network_Talent Market202115000"/>
    <x v="942"/>
    <x v="199"/>
    <x v="50"/>
    <n v="15000"/>
    <x v="18"/>
    <s v="added"/>
    <s v="Aff"/>
  </r>
  <r>
    <n v="990"/>
    <s v="State Policy Network_Thomas Jefferson Institute202110000"/>
    <x v="942"/>
    <x v="199"/>
    <x v="45"/>
    <n v="10000"/>
    <x v="18"/>
    <s v="added"/>
    <m/>
  </r>
  <r>
    <n v="990"/>
    <s v="State Policy Network_Beacon Center of Tennessee20218000"/>
    <x v="942"/>
    <x v="199"/>
    <x v="4"/>
    <n v="8000"/>
    <x v="18"/>
    <s v="added"/>
    <m/>
  </r>
  <r>
    <n v="990"/>
    <s v="State Policy Network_Illinois Policy Institute20218000"/>
    <x v="942"/>
    <x v="199"/>
    <x v="21"/>
    <n v="8000"/>
    <x v="18"/>
    <s v="added"/>
    <m/>
  </r>
  <r>
    <n v="990"/>
    <s v="State Policy Network_Commonwealth Foundation for Public Policy Alternatives20217500"/>
    <x v="942"/>
    <x v="199"/>
    <x v="10"/>
    <n v="7500"/>
    <x v="18"/>
    <s v="added"/>
    <m/>
  </r>
  <r>
    <n v="990"/>
    <s v="State Policy Network_Illinois Policy Institute20217500"/>
    <x v="942"/>
    <x v="199"/>
    <x v="21"/>
    <n v="7500"/>
    <x v="18"/>
    <s v="added"/>
    <m/>
  </r>
  <r>
    <n v="990"/>
    <s v="State Policy Network_Nevada Action for School Options202175000"/>
    <x v="942"/>
    <x v="199"/>
    <x v="51"/>
    <n v="75000"/>
    <x v="18"/>
    <s v="added"/>
    <m/>
  </r>
  <r>
    <n v="990"/>
    <s v="State Policy Network_People United for Privacy Foundation2020250000"/>
    <x v="943"/>
    <x v="199"/>
    <x v="36"/>
    <n v="250000"/>
    <x v="19"/>
    <s v="added"/>
    <m/>
  </r>
  <r>
    <n v="990"/>
    <s v="State Policy Network_Mackinac Center for Public Policy2020123000"/>
    <x v="943"/>
    <x v="199"/>
    <x v="30"/>
    <n v="123000"/>
    <x v="19"/>
    <s v="added"/>
    <m/>
  </r>
  <r>
    <n v="990"/>
    <s v="State Policy Network_Empire Center for Public Policy2020120000"/>
    <x v="943"/>
    <x v="199"/>
    <x v="11"/>
    <n v="120000"/>
    <x v="19"/>
    <s v="added"/>
    <m/>
  </r>
  <r>
    <n v="990"/>
    <s v="State Policy Network_Palmetto Promise Institute2020118000"/>
    <x v="943"/>
    <x v="199"/>
    <x v="34"/>
    <n v="118000"/>
    <x v="19"/>
    <s v="added"/>
    <m/>
  </r>
  <r>
    <n v="990"/>
    <s v="State Policy Network_Beacon Center of Tennessee2020100000"/>
    <x v="943"/>
    <x v="199"/>
    <x v="4"/>
    <n v="100000"/>
    <x v="19"/>
    <s v="added"/>
    <m/>
  </r>
  <r>
    <n v="990"/>
    <s v="State Policy Network_California Policy Center202095000"/>
    <x v="943"/>
    <x v="199"/>
    <x v="5"/>
    <n v="95000"/>
    <x v="19"/>
    <s v="added"/>
    <m/>
  </r>
  <r>
    <n v="990"/>
    <s v="State Policy Network_Alaska Policy Forum202090000"/>
    <x v="943"/>
    <x v="199"/>
    <x v="1"/>
    <n v="90000"/>
    <x v="19"/>
    <s v="added"/>
    <m/>
  </r>
  <r>
    <n v="990"/>
    <s v="State Policy Network_Georgia Center for Opportunity202075000"/>
    <x v="943"/>
    <x v="199"/>
    <x v="15"/>
    <n v="75000"/>
    <x v="19"/>
    <s v="added"/>
    <m/>
  </r>
  <r>
    <n v="990"/>
    <s v="State Policy Network_Independence Institute202075000"/>
    <x v="943"/>
    <x v="199"/>
    <x v="22"/>
    <n v="75000"/>
    <x v="19"/>
    <s v="added"/>
    <m/>
  </r>
  <r>
    <n v="990"/>
    <s v="State Policy Network_Great American Foundation American Culture Foundation202075000"/>
    <x v="943"/>
    <x v="199"/>
    <x v="52"/>
    <n v="75000"/>
    <x v="19"/>
    <s v="added"/>
    <m/>
  </r>
  <r>
    <n v="990"/>
    <s v="State Policy Network_Pioneer Institute for Public Policy Research202073000"/>
    <x v="943"/>
    <x v="199"/>
    <x v="37"/>
    <n v="73000"/>
    <x v="19"/>
    <s v="added"/>
    <m/>
  </r>
  <r>
    <n v="990"/>
    <s v="State Policy Network_Buckeye Institute for Public Policy Solutions202070000"/>
    <x v="943"/>
    <x v="199"/>
    <x v="42"/>
    <n v="70000"/>
    <x v="19"/>
    <s v="added"/>
    <m/>
  </r>
  <r>
    <n v="990"/>
    <s v="State Policy Network_Oklahoma Council of Public Affairs202070000"/>
    <x v="943"/>
    <x v="199"/>
    <x v="32"/>
    <n v="70000"/>
    <x v="19"/>
    <s v="added"/>
    <m/>
  </r>
  <r>
    <n v="990"/>
    <s v="State Policy Network_Kansas Policy Institute202060000"/>
    <x v="943"/>
    <x v="199"/>
    <x v="28"/>
    <n v="60000"/>
    <x v="19"/>
    <s v="added"/>
    <m/>
  </r>
  <r>
    <n v="990"/>
    <s v="State Policy Network_Badger Institute202055000"/>
    <x v="943"/>
    <x v="199"/>
    <x v="3"/>
    <n v="55000"/>
    <x v="19"/>
    <s v="added"/>
    <m/>
  </r>
  <r>
    <n v="990"/>
    <s v="State Policy Network_Goldwater Institute for Public Policy202052500"/>
    <x v="943"/>
    <x v="199"/>
    <x v="17"/>
    <n v="52500"/>
    <x v="19"/>
    <s v="added"/>
    <m/>
  </r>
  <r>
    <n v="990"/>
    <s v="State Policy Network_John W Pope Civitas Institute202051000"/>
    <x v="943"/>
    <x v="199"/>
    <x v="53"/>
    <n v="51000"/>
    <x v="19"/>
    <s v="added"/>
    <m/>
  </r>
  <r>
    <n v="990"/>
    <s v="State Policy Network_Americans for Fair Treatment202050000"/>
    <x v="943"/>
    <x v="199"/>
    <x v="54"/>
    <n v="50000"/>
    <x v="19"/>
    <s v="added"/>
    <m/>
  </r>
  <r>
    <n v="990"/>
    <s v="State Policy Network_Ballotpedia Inc202050000"/>
    <x v="943"/>
    <x v="199"/>
    <x v="55"/>
    <n v="50000"/>
    <x v="19"/>
    <s v="added"/>
    <m/>
  </r>
  <r>
    <n v="990"/>
    <s v="State Policy Network_John Locke Foundation202050000"/>
    <x v="943"/>
    <x v="199"/>
    <x v="26"/>
    <n v="50000"/>
    <x v="19"/>
    <s v="added"/>
    <m/>
  </r>
  <r>
    <n v="990"/>
    <s v="State Policy Network_Center of the American Experiment202046400"/>
    <x v="943"/>
    <x v="199"/>
    <x v="9"/>
    <n v="46400"/>
    <x v="19"/>
    <s v="added"/>
    <m/>
  </r>
  <r>
    <n v="990"/>
    <s v="State Policy Network_Yankee Institute for Public Policy202045000"/>
    <x v="943"/>
    <x v="199"/>
    <x v="47"/>
    <n v="45000"/>
    <x v="19"/>
    <s v="added"/>
    <m/>
  </r>
  <r>
    <n v="990"/>
    <s v="State Policy Network_Maine Heritage Policy Center202044000"/>
    <x v="943"/>
    <x v="199"/>
    <x v="56"/>
    <n v="44000"/>
    <x v="19"/>
    <s v="added"/>
    <m/>
  </r>
  <r>
    <n v="990"/>
    <s v="State Policy Network_American Public Servants Charitable Foundation202040000"/>
    <x v="943"/>
    <x v="199"/>
    <x v="57"/>
    <n v="40000"/>
    <x v="19"/>
    <s v="added"/>
    <m/>
  </r>
  <r>
    <n v="990"/>
    <s v="State Policy Network_Empower Mississippi Foundation202040000"/>
    <x v="943"/>
    <x v="199"/>
    <x v="12"/>
    <n v="40000"/>
    <x v="19"/>
    <s v="added"/>
    <m/>
  </r>
  <r>
    <n v="990"/>
    <s v="State Policy Network_Evergreen Freedom Foundation202040000"/>
    <x v="943"/>
    <x v="199"/>
    <x v="14"/>
    <n v="40000"/>
    <x v="19"/>
    <s v="added"/>
    <m/>
  </r>
  <r>
    <n v="990"/>
    <s v="State Policy Network_Illinois Policy Institute202040000"/>
    <x v="943"/>
    <x v="199"/>
    <x v="21"/>
    <n v="40000"/>
    <x v="19"/>
    <s v="added"/>
    <m/>
  </r>
  <r>
    <n v="990"/>
    <s v="State Policy Network_Liberty Justice Center202035000"/>
    <x v="943"/>
    <x v="199"/>
    <x v="58"/>
    <n v="35000"/>
    <x v="19"/>
    <s v="added"/>
    <m/>
  </r>
  <r>
    <n v="990"/>
    <s v="State Policy Network_James Madison Institute202035000"/>
    <x v="943"/>
    <x v="199"/>
    <x v="43"/>
    <n v="35000"/>
    <x v="19"/>
    <s v="added"/>
    <m/>
  </r>
  <r>
    <n v="990"/>
    <s v="State Policy Network_Idaho Freedom Foundation202030000"/>
    <x v="943"/>
    <x v="199"/>
    <x v="59"/>
    <n v="30000"/>
    <x v="19"/>
    <s v="added"/>
    <m/>
  </r>
  <r>
    <n v="990"/>
    <s v="State Policy Network_Wisconsin Institute for Law &amp; Liberty202030000"/>
    <x v="943"/>
    <x v="199"/>
    <x v="46"/>
    <n v="30000"/>
    <x v="19"/>
    <s v="added"/>
    <m/>
  </r>
  <r>
    <n v="990"/>
    <s v="State Policy Network_Cardinal Institute for West Virginia Policy202029000"/>
    <x v="943"/>
    <x v="199"/>
    <x v="6"/>
    <n v="29000"/>
    <x v="19"/>
    <s v="added"/>
    <m/>
  </r>
  <r>
    <n v="990"/>
    <s v="State Policy Network_Pelican Institute for Public Policy202029000"/>
    <x v="943"/>
    <x v="199"/>
    <x v="35"/>
    <n v="29000"/>
    <x v="19"/>
    <s v="added"/>
    <m/>
  </r>
  <r>
    <n v="990"/>
    <s v="State Policy Network_Garden State Initiative202025000"/>
    <x v="943"/>
    <x v="199"/>
    <x v="60"/>
    <n v="25000"/>
    <x v="19"/>
    <s v="added"/>
    <m/>
  </r>
  <r>
    <n v="990"/>
    <s v="State Policy Network_Platte Institute for Economic Research202025000"/>
    <x v="943"/>
    <x v="199"/>
    <x v="38"/>
    <n v="25000"/>
    <x v="19"/>
    <s v="added"/>
    <m/>
  </r>
  <r>
    <n v="990"/>
    <s v="State Policy Network_Texas Public Policy Foundation202025000"/>
    <x v="943"/>
    <x v="199"/>
    <x v="41"/>
    <n v="25000"/>
    <x v="19"/>
    <s v="added"/>
    <m/>
  </r>
  <r>
    <n v="990"/>
    <s v="State Policy Network_Thomas Jefferson Institute202025000"/>
    <x v="943"/>
    <x v="199"/>
    <x v="45"/>
    <n v="25000"/>
    <x v="19"/>
    <s v="added"/>
    <m/>
  </r>
  <r>
    <n v="990"/>
    <s v="State Policy Network_Bluegrass Institute for Public Policy Solutions202020000"/>
    <x v="943"/>
    <x v="199"/>
    <x v="61"/>
    <n v="20000"/>
    <x v="19"/>
    <s v="added"/>
    <m/>
  </r>
  <r>
    <n v="990"/>
    <s v="State Policy Network_Georgia Public Policy Foundation202020000"/>
    <x v="943"/>
    <x v="199"/>
    <x v="16"/>
    <n v="20000"/>
    <x v="19"/>
    <s v="added"/>
    <m/>
  </r>
  <r>
    <n v="990"/>
    <s v="State Policy Network_Mississippi Center for Public Policy202017500"/>
    <x v="943"/>
    <x v="199"/>
    <x v="31"/>
    <n v="17500"/>
    <x v="19"/>
    <s v="added"/>
    <m/>
  </r>
  <r>
    <n v="990"/>
    <s v="State Policy Network_Association of American Educators Foundation202015000"/>
    <x v="943"/>
    <x v="199"/>
    <x v="62"/>
    <n v="15000"/>
    <x v="19"/>
    <s v="added"/>
    <m/>
  </r>
  <r>
    <n v="990"/>
    <s v="State Policy Network_Commonwealth Foundation for Public Policy Alternatives202015000"/>
    <x v="943"/>
    <x v="199"/>
    <x v="10"/>
    <n v="15000"/>
    <x v="19"/>
    <s v="added"/>
    <m/>
  </r>
  <r>
    <n v="990"/>
    <s v="State Policy Network_Libertas Institute202013000"/>
    <x v="943"/>
    <x v="199"/>
    <x v="29"/>
    <n v="13000"/>
    <x v="19"/>
    <s v="added"/>
    <m/>
  </r>
  <r>
    <n v="990"/>
    <s v="State Policy Network_Alaska Policy Forum201945000"/>
    <x v="944"/>
    <x v="199"/>
    <x v="1"/>
    <n v="45000"/>
    <x v="1"/>
    <s v="added"/>
    <m/>
  </r>
  <r>
    <n v="990"/>
    <s v="State Policy Network_American Culture Foundation / Great Communicators Foundation201970000"/>
    <x v="944"/>
    <x v="199"/>
    <x v="63"/>
    <n v="70000"/>
    <x v="1"/>
    <s v="added"/>
    <m/>
  </r>
  <r>
    <n v="990"/>
    <s v="State Policy Network_Americans for Fair Treatment201960000"/>
    <x v="944"/>
    <x v="199"/>
    <x v="54"/>
    <n v="60000"/>
    <x v="1"/>
    <s v="added"/>
    <m/>
  </r>
  <r>
    <n v="990"/>
    <s v="State Policy Network_Badger Institute201951500"/>
    <x v="944"/>
    <x v="199"/>
    <x v="3"/>
    <n v="51500"/>
    <x v="1"/>
    <s v="added"/>
    <m/>
  </r>
  <r>
    <n v="990"/>
    <s v="State Policy Network_Beacon Center of Tennessee2019107500"/>
    <x v="944"/>
    <x v="199"/>
    <x v="4"/>
    <n v="107500"/>
    <x v="1"/>
    <s v="added"/>
    <m/>
  </r>
  <r>
    <n v="990"/>
    <s v="State Policy Network_Bluegrass Institute for Public Policy Solutions201920000"/>
    <x v="944"/>
    <x v="199"/>
    <x v="61"/>
    <n v="20000"/>
    <x v="1"/>
    <s v="added"/>
    <m/>
  </r>
  <r>
    <n v="990"/>
    <s v="State Policy Network_Buckeye Institute for Public Policy Solutions201950000"/>
    <x v="944"/>
    <x v="199"/>
    <x v="42"/>
    <n v="50000"/>
    <x v="1"/>
    <s v="added"/>
    <m/>
  </r>
  <r>
    <n v="990"/>
    <s v="State Policy Network_California Policy Center2019139400"/>
    <x v="944"/>
    <x v="199"/>
    <x v="5"/>
    <n v="139400"/>
    <x v="1"/>
    <s v="added"/>
    <m/>
  </r>
  <r>
    <n v="990"/>
    <s v="State Policy Network_Cardinal Institute for West Virginia Policy201946400"/>
    <x v="944"/>
    <x v="199"/>
    <x v="6"/>
    <n v="46400"/>
    <x v="1"/>
    <s v="added"/>
    <m/>
  </r>
  <r>
    <n v="990"/>
    <s v="State Policy Network_Cascade Policy Institute201938500"/>
    <x v="944"/>
    <x v="199"/>
    <x v="7"/>
    <n v="38500"/>
    <x v="1"/>
    <s v="added"/>
    <m/>
  </r>
  <r>
    <n v="990"/>
    <s v="State Policy Network_Center for Independent Employees201935000"/>
    <x v="944"/>
    <x v="199"/>
    <x v="64"/>
    <n v="35000"/>
    <x v="1"/>
    <s v="added"/>
    <m/>
  </r>
  <r>
    <n v="990"/>
    <s v="State Policy Network_Commonwealth Foundation for Public Policy Alternatives2019112500"/>
    <x v="944"/>
    <x v="199"/>
    <x v="10"/>
    <n v="112500"/>
    <x v="1"/>
    <s v="added"/>
    <m/>
  </r>
  <r>
    <n v="990"/>
    <s v="State Policy Network_Empire Center for Public Policy2019141150"/>
    <x v="944"/>
    <x v="199"/>
    <x v="11"/>
    <n v="141150"/>
    <x v="1"/>
    <s v="added"/>
    <m/>
  </r>
  <r>
    <n v="990"/>
    <s v="State Policy Network_Evergreen Freedom Foundation201960000"/>
    <x v="944"/>
    <x v="199"/>
    <x v="14"/>
    <n v="60000"/>
    <x v="1"/>
    <s v="added"/>
    <m/>
  </r>
  <r>
    <n v="990"/>
    <s v="State Policy Network_Georgia Center for Opportunity201946400"/>
    <x v="944"/>
    <x v="199"/>
    <x v="15"/>
    <n v="46400"/>
    <x v="1"/>
    <s v="added"/>
    <m/>
  </r>
  <r>
    <n v="990"/>
    <s v="State Policy Network_Georgia Public Policy Foundation201925000"/>
    <x v="944"/>
    <x v="199"/>
    <x v="16"/>
    <n v="25000"/>
    <x v="1"/>
    <s v="added"/>
    <m/>
  </r>
  <r>
    <n v="990"/>
    <s v="State Policy Network_Goldwater Institute for Public Policy201950000"/>
    <x v="944"/>
    <x v="199"/>
    <x v="17"/>
    <n v="50000"/>
    <x v="1"/>
    <s v="added"/>
    <m/>
  </r>
  <r>
    <n v="990"/>
    <s v="State Policy Network_Grassroots Institute of Hawaii201946400"/>
    <x v="944"/>
    <x v="199"/>
    <x v="18"/>
    <n v="46400"/>
    <x v="1"/>
    <s v="added"/>
    <m/>
  </r>
  <r>
    <n v="990"/>
    <s v="State Policy Network_Illinois Policy Institute2019110000"/>
    <x v="944"/>
    <x v="199"/>
    <x v="21"/>
    <n v="110000"/>
    <x v="1"/>
    <s v="added"/>
    <m/>
  </r>
  <r>
    <n v="990"/>
    <s v="State Policy Network_James Madison Institute201983500"/>
    <x v="944"/>
    <x v="199"/>
    <x v="43"/>
    <n v="83500"/>
    <x v="1"/>
    <s v="added"/>
    <m/>
  </r>
  <r>
    <n v="990"/>
    <s v="State Policy Network_Kansas Policy Institute201940000"/>
    <x v="944"/>
    <x v="199"/>
    <x v="28"/>
    <n v="40000"/>
    <x v="1"/>
    <s v="added"/>
    <m/>
  </r>
  <r>
    <n v="990"/>
    <s v="State Policy Network_Liberty Justice Center201960000"/>
    <x v="944"/>
    <x v="199"/>
    <x v="58"/>
    <n v="60000"/>
    <x v="1"/>
    <s v="added"/>
    <m/>
  </r>
  <r>
    <n v="990"/>
    <s v="State Policy Network_Lucy Burns Institute201918500"/>
    <x v="944"/>
    <x v="199"/>
    <x v="65"/>
    <n v="18500"/>
    <x v="1"/>
    <s v="added"/>
    <m/>
  </r>
  <r>
    <n v="990"/>
    <s v="State Policy Network_Mackinac Center for Public Policy201952000"/>
    <x v="944"/>
    <x v="199"/>
    <x v="30"/>
    <n v="52000"/>
    <x v="1"/>
    <s v="added"/>
    <m/>
  </r>
  <r>
    <n v="990"/>
    <s v="State Policy Network_Maine Heritage Policy Center201940000"/>
    <x v="944"/>
    <x v="199"/>
    <x v="56"/>
    <n v="40000"/>
    <x v="1"/>
    <s v="added"/>
    <m/>
  </r>
  <r>
    <n v="990"/>
    <s v="State Policy Network_Mississippi Center for Public Policy201925400"/>
    <x v="944"/>
    <x v="199"/>
    <x v="31"/>
    <n v="25400"/>
    <x v="1"/>
    <s v="added"/>
    <m/>
  </r>
  <r>
    <n v="990"/>
    <s v="State Policy Network_Nevada Policy Research Institute201925000"/>
    <x v="944"/>
    <x v="199"/>
    <x v="66"/>
    <n v="25000"/>
    <x v="1"/>
    <s v="added"/>
    <m/>
  </r>
  <r>
    <n v="990"/>
    <s v="State Policy Network_Oklahoma Council of Public Affairs201960000"/>
    <x v="944"/>
    <x v="199"/>
    <x v="32"/>
    <n v="60000"/>
    <x v="1"/>
    <s v="added"/>
    <m/>
  </r>
  <r>
    <n v="990"/>
    <s v="State Policy Network_Palmetto Promise Institute201935000"/>
    <x v="944"/>
    <x v="199"/>
    <x v="34"/>
    <n v="35000"/>
    <x v="1"/>
    <s v="added"/>
    <m/>
  </r>
  <r>
    <n v="990"/>
    <s v="State Policy Network_Pelican Institute for Public Policy201950000"/>
    <x v="944"/>
    <x v="199"/>
    <x v="35"/>
    <n v="50000"/>
    <x v="1"/>
    <s v="added"/>
    <m/>
  </r>
  <r>
    <n v="990"/>
    <s v="State Policy Network_People United for Privacy Foundation2019616718"/>
    <x v="944"/>
    <x v="199"/>
    <x v="36"/>
    <n v="616718"/>
    <x v="1"/>
    <s v="added"/>
    <m/>
  </r>
  <r>
    <n v="990"/>
    <s v="State Policy Network_Rhode Island Center for Freedom and Prosperity20198500"/>
    <x v="944"/>
    <x v="199"/>
    <x v="67"/>
    <n v="8500"/>
    <x v="1"/>
    <s v="added"/>
    <m/>
  </r>
  <r>
    <n v="990"/>
    <s v="State Policy Network_Sutherland Institute201910300"/>
    <x v="944"/>
    <x v="199"/>
    <x v="68"/>
    <n v="10300"/>
    <x v="1"/>
    <s v="added"/>
    <m/>
  </r>
  <r>
    <n v="990"/>
    <s v="State Policy Network_Tax Education Foundation Iowa20198000"/>
    <x v="944"/>
    <x v="199"/>
    <x v="69"/>
    <n v="8000"/>
    <x v="1"/>
    <s v="added"/>
    <m/>
  </r>
  <r>
    <n v="990"/>
    <s v="State Policy Network_Thomas Jefferson Institute201940000"/>
    <x v="944"/>
    <x v="199"/>
    <x v="45"/>
    <n v="40000"/>
    <x v="1"/>
    <s v="added"/>
    <m/>
  </r>
  <r>
    <n v="990"/>
    <s v="State Policy Network_Washington Policy Center201930000"/>
    <x v="944"/>
    <x v="199"/>
    <x v="70"/>
    <n v="30000"/>
    <x v="1"/>
    <s v="added"/>
    <m/>
  </r>
  <r>
    <n v="990"/>
    <s v="State Policy Network_Wisconsin Institute for Law &amp; Liberty201940000"/>
    <x v="944"/>
    <x v="199"/>
    <x v="46"/>
    <n v="40000"/>
    <x v="1"/>
    <s v="added"/>
    <m/>
  </r>
  <r>
    <n v="990"/>
    <s v="State Policy Network_Yankee Institute for Public Policy201945000"/>
    <x v="944"/>
    <x v="199"/>
    <x v="47"/>
    <n v="45000"/>
    <x v="1"/>
    <s v="added"/>
    <m/>
  </r>
  <r>
    <n v="990"/>
    <s v="State Policy Network_Alabama Policy Institute201840000"/>
    <x v="945"/>
    <x v="199"/>
    <x v="49"/>
    <n v="40000"/>
    <x v="2"/>
    <s v="added"/>
    <m/>
  </r>
  <r>
    <n v="990"/>
    <s v="State Policy Network_Badger Institute201845000"/>
    <x v="945"/>
    <x v="199"/>
    <x v="3"/>
    <n v="45000"/>
    <x v="2"/>
    <s v="added"/>
    <m/>
  </r>
  <r>
    <n v="990"/>
    <s v="State Policy Network_Beacon Center of Tennessee2018100000"/>
    <x v="945"/>
    <x v="199"/>
    <x v="4"/>
    <n v="100000"/>
    <x v="2"/>
    <s v="added"/>
    <m/>
  </r>
  <r>
    <n v="990"/>
    <s v="State Policy Network_Cardinal Institute for West Virginia Policy201820000"/>
    <x v="945"/>
    <x v="199"/>
    <x v="6"/>
    <n v="20000"/>
    <x v="2"/>
    <s v="added"/>
    <m/>
  </r>
  <r>
    <n v="990"/>
    <s v="State Policy Network_Center of the American Experiment201850000"/>
    <x v="945"/>
    <x v="199"/>
    <x v="9"/>
    <n v="50000"/>
    <x v="2"/>
    <s v="added"/>
    <m/>
  </r>
  <r>
    <n v="990"/>
    <s v="State Policy Network_Civitas Institute201820000"/>
    <x v="945"/>
    <x v="199"/>
    <x v="71"/>
    <n v="20000"/>
    <x v="2"/>
    <s v="added"/>
    <m/>
  </r>
  <r>
    <n v="990"/>
    <s v="State Policy Network_Commonwealth Foundation for Public Policy Alternatives201884000"/>
    <x v="945"/>
    <x v="199"/>
    <x v="10"/>
    <n v="84000"/>
    <x v="2"/>
    <s v="added"/>
    <m/>
  </r>
  <r>
    <n v="990"/>
    <s v="State Policy Network_Empire Center for Public Policy201853500"/>
    <x v="945"/>
    <x v="199"/>
    <x v="11"/>
    <n v="53500"/>
    <x v="2"/>
    <s v="added"/>
    <m/>
  </r>
  <r>
    <n v="990"/>
    <s v="State Policy Network_Evergreen Freedom Foundation201830000"/>
    <x v="945"/>
    <x v="199"/>
    <x v="14"/>
    <n v="30000"/>
    <x v="2"/>
    <s v="added"/>
    <m/>
  </r>
  <r>
    <n v="990"/>
    <s v="State Policy Network_Garden State Initiative201850000"/>
    <x v="945"/>
    <x v="199"/>
    <x v="60"/>
    <n v="50000"/>
    <x v="2"/>
    <s v="added"/>
    <m/>
  </r>
  <r>
    <n v="990"/>
    <s v="State Policy Network_Georgia Center for Opportunity201866000"/>
    <x v="945"/>
    <x v="199"/>
    <x v="15"/>
    <n v="66000"/>
    <x v="2"/>
    <s v="added"/>
    <m/>
  </r>
  <r>
    <n v="990"/>
    <s v="State Policy Network_Goldwater Institute for Public Policy201864500"/>
    <x v="945"/>
    <x v="199"/>
    <x v="17"/>
    <n v="64500"/>
    <x v="2"/>
    <s v="added"/>
    <m/>
  </r>
  <r>
    <n v="990"/>
    <s v="State Policy Network_Independence Institute2018109000"/>
    <x v="945"/>
    <x v="199"/>
    <x v="22"/>
    <n v="109000"/>
    <x v="2"/>
    <s v="added"/>
    <m/>
  </r>
  <r>
    <n v="990"/>
    <s v="State Policy Network_Mackinac Center for Public Policy201830000"/>
    <x v="945"/>
    <x v="199"/>
    <x v="30"/>
    <n v="30000"/>
    <x v="2"/>
    <s v="added"/>
    <m/>
  </r>
  <r>
    <n v="990"/>
    <s v="State Policy Network_Maine Heritage Policy Center201815000"/>
    <x v="945"/>
    <x v="199"/>
    <x v="56"/>
    <n v="15000"/>
    <x v="2"/>
    <s v="added"/>
    <m/>
  </r>
  <r>
    <n v="990"/>
    <s v="State Policy Network_Maryland Public Policy Institute201850000"/>
    <x v="945"/>
    <x v="199"/>
    <x v="72"/>
    <n v="50000"/>
    <x v="2"/>
    <s v="added"/>
    <m/>
  </r>
  <r>
    <n v="990"/>
    <s v="State Policy Network_Mississippi Center for Public Policy201825000"/>
    <x v="945"/>
    <x v="199"/>
    <x v="31"/>
    <n v="25000"/>
    <x v="2"/>
    <s v="added"/>
    <m/>
  </r>
  <r>
    <n v="990"/>
    <s v="State Policy Network_Oklahoma Council of Public Affairs201843100"/>
    <x v="945"/>
    <x v="199"/>
    <x v="32"/>
    <n v="43100"/>
    <x v="2"/>
    <s v="added"/>
    <m/>
  </r>
  <r>
    <n v="990"/>
    <s v="State Policy Network_Pelican Institute for Public Policy201815500"/>
    <x v="945"/>
    <x v="199"/>
    <x v="35"/>
    <n v="15500"/>
    <x v="2"/>
    <s v="added"/>
    <m/>
  </r>
  <r>
    <n v="990"/>
    <s v="State Policy Network_Show-Me Institute201815000"/>
    <x v="945"/>
    <x v="199"/>
    <x v="44"/>
    <n v="15000"/>
    <x v="2"/>
    <s v="added"/>
    <m/>
  </r>
  <r>
    <n v="990"/>
    <s v="State Policy Network_Sutherland Institute201815000"/>
    <x v="945"/>
    <x v="199"/>
    <x v="68"/>
    <n v="15000"/>
    <x v="2"/>
    <s v="added"/>
    <m/>
  </r>
  <r>
    <n v="990"/>
    <s v="State Policy Network_Talent Market201815000"/>
    <x v="945"/>
    <x v="199"/>
    <x v="50"/>
    <n v="15000"/>
    <x v="2"/>
    <s v="added"/>
    <s v="CP Donors Trust"/>
  </r>
  <r>
    <n v="990"/>
    <s v="State Policy Network_Washington Policy Center201815000"/>
    <x v="945"/>
    <x v="199"/>
    <x v="70"/>
    <n v="15000"/>
    <x v="2"/>
    <s v="added"/>
    <m/>
  </r>
  <r>
    <n v="990"/>
    <s v="State Policy Network_Yankee Institute for Public Policy201815000"/>
    <x v="945"/>
    <x v="199"/>
    <x v="47"/>
    <n v="15000"/>
    <x v="2"/>
    <s v="added"/>
    <m/>
  </r>
  <r>
    <n v="990"/>
    <s v="State Policy Network_Alabama Policy Institute201715000"/>
    <x v="946"/>
    <x v="199"/>
    <x v="49"/>
    <n v="15000"/>
    <x v="3"/>
    <s v="added"/>
    <m/>
  </r>
  <r>
    <n v="990"/>
    <s v="State Policy Network_American Transparency201724000"/>
    <x v="946"/>
    <x v="199"/>
    <x v="73"/>
    <n v="24000"/>
    <x v="3"/>
    <s v="added"/>
    <m/>
  </r>
  <r>
    <n v="990"/>
    <s v="State Policy Network_Arkansas Policy Foundation201717500"/>
    <x v="946"/>
    <x v="199"/>
    <x v="74"/>
    <n v="17500"/>
    <x v="3"/>
    <s v="added"/>
    <m/>
  </r>
  <r>
    <n v="990"/>
    <s v="State Policy Network_Bluegrass Institute for Public Policy Solutions201710000"/>
    <x v="946"/>
    <x v="199"/>
    <x v="61"/>
    <n v="10000"/>
    <x v="3"/>
    <s v="added"/>
    <m/>
  </r>
  <r>
    <n v="990"/>
    <s v="State Policy Network_Buckeye Institute for Public Policy Solutions201734000"/>
    <x v="946"/>
    <x v="199"/>
    <x v="42"/>
    <n v="34000"/>
    <x v="3"/>
    <s v="added"/>
    <m/>
  </r>
  <r>
    <n v="990"/>
    <s v="State Policy Network_California Policy Center201766950"/>
    <x v="946"/>
    <x v="199"/>
    <x v="5"/>
    <n v="66950"/>
    <x v="3"/>
    <s v="added"/>
    <m/>
  </r>
  <r>
    <n v="990"/>
    <s v="State Policy Network_Cascade Policy Institute201752000"/>
    <x v="946"/>
    <x v="199"/>
    <x v="7"/>
    <n v="52000"/>
    <x v="3"/>
    <s v="added"/>
    <m/>
  </r>
  <r>
    <n v="990"/>
    <s v="State Policy Network_DonorsTrust201710000"/>
    <x v="946"/>
    <x v="199"/>
    <x v="75"/>
    <n v="10000"/>
    <x v="3"/>
    <s v="added"/>
    <m/>
  </r>
  <r>
    <n v="990"/>
    <s v="State Policy Network_Empire Center for Public Policy20176400"/>
    <x v="946"/>
    <x v="199"/>
    <x v="11"/>
    <n v="6400"/>
    <x v="3"/>
    <s v="added"/>
    <m/>
  </r>
  <r>
    <n v="990"/>
    <s v="State Policy Network_Foundation for Government Accountability201710000"/>
    <x v="946"/>
    <x v="199"/>
    <x v="13"/>
    <n v="10000"/>
    <x v="3"/>
    <s v="added"/>
    <m/>
  </r>
  <r>
    <n v="990"/>
    <s v="State Policy Network_Evergreen Freedom Foundation201753700"/>
    <x v="946"/>
    <x v="199"/>
    <x v="14"/>
    <n v="53700"/>
    <x v="3"/>
    <s v="added"/>
    <m/>
  </r>
  <r>
    <n v="990"/>
    <s v="State Policy Network_Garden State Initiative201782500"/>
    <x v="946"/>
    <x v="199"/>
    <x v="60"/>
    <n v="82500"/>
    <x v="3"/>
    <s v="added"/>
    <m/>
  </r>
  <r>
    <n v="990"/>
    <s v="State Policy Network_Georgia Center for Opportunity201747500"/>
    <x v="946"/>
    <x v="199"/>
    <x v="15"/>
    <n v="47500"/>
    <x v="3"/>
    <s v="added"/>
    <m/>
  </r>
  <r>
    <n v="990"/>
    <s v="State Policy Network_Goldwater Institute for Public Policy201710500"/>
    <x v="946"/>
    <x v="199"/>
    <x v="17"/>
    <n v="10500"/>
    <x v="3"/>
    <s v="added"/>
    <m/>
  </r>
  <r>
    <n v="990"/>
    <s v="State Policy Network_Illinois Policy Institute2017190000"/>
    <x v="946"/>
    <x v="199"/>
    <x v="21"/>
    <n v="190000"/>
    <x v="3"/>
    <s v="added"/>
    <m/>
  </r>
  <r>
    <n v="990"/>
    <s v="State Policy Network_Independence Institute201726000"/>
    <x v="946"/>
    <x v="199"/>
    <x v="22"/>
    <n v="26000"/>
    <x v="3"/>
    <s v="added"/>
    <m/>
  </r>
  <r>
    <n v="990"/>
    <s v="State Policy Network_Institute for Humane Studies20176000"/>
    <x v="946"/>
    <x v="199"/>
    <x v="76"/>
    <n v="6000"/>
    <x v="3"/>
    <s v="added"/>
    <m/>
  </r>
  <r>
    <n v="990"/>
    <s v="State Policy Network_James Madison Institute201748000"/>
    <x v="946"/>
    <x v="199"/>
    <x v="43"/>
    <n v="48000"/>
    <x v="3"/>
    <s v="added"/>
    <m/>
  </r>
  <r>
    <n v="990"/>
    <s v="State Policy Network_John Locke Foundation201710000"/>
    <x v="946"/>
    <x v="199"/>
    <x v="26"/>
    <n v="10000"/>
    <x v="3"/>
    <s v="added"/>
    <m/>
  </r>
  <r>
    <n v="990"/>
    <s v="State Policy Network_Maciver Institute20178500"/>
    <x v="946"/>
    <x v="199"/>
    <x v="77"/>
    <n v="8500"/>
    <x v="3"/>
    <s v="added"/>
    <m/>
  </r>
  <r>
    <n v="990"/>
    <s v="State Policy Network_Mackinac Center for Public Policy201726200"/>
    <x v="946"/>
    <x v="199"/>
    <x v="30"/>
    <n v="26200"/>
    <x v="3"/>
    <s v="added"/>
    <m/>
  </r>
  <r>
    <n v="990"/>
    <s v="State Policy Network_Maryland Public Policy Institute201750500"/>
    <x v="946"/>
    <x v="199"/>
    <x v="72"/>
    <n v="50500"/>
    <x v="3"/>
    <s v="added"/>
    <m/>
  </r>
  <r>
    <n v="990"/>
    <s v="State Policy Network_Nevada Policy Research Institute201725600"/>
    <x v="946"/>
    <x v="199"/>
    <x v="66"/>
    <n v="25600"/>
    <x v="3"/>
    <s v="added"/>
    <m/>
  </r>
  <r>
    <n v="990"/>
    <s v="State Policy Network_Oklahoma Council of Public Affairs201723600"/>
    <x v="946"/>
    <x v="199"/>
    <x v="32"/>
    <n v="23600"/>
    <x v="3"/>
    <s v="added"/>
    <m/>
  </r>
  <r>
    <n v="990"/>
    <s v="State Policy Network_Pacific Research Institute201725000"/>
    <x v="946"/>
    <x v="199"/>
    <x v="78"/>
    <n v="25000"/>
    <x v="3"/>
    <s v="added"/>
    <m/>
  </r>
  <r>
    <n v="990"/>
    <s v="State Policy Network_Palmetto Promise Institute201747500"/>
    <x v="946"/>
    <x v="199"/>
    <x v="34"/>
    <n v="47500"/>
    <x v="3"/>
    <s v="added"/>
    <m/>
  </r>
  <r>
    <n v="990"/>
    <s v="State Policy Network_Pioneer Institute for Public Policy Research201725000"/>
    <x v="946"/>
    <x v="199"/>
    <x v="37"/>
    <n v="25000"/>
    <x v="3"/>
    <s v="added"/>
    <m/>
  </r>
  <r>
    <n v="990"/>
    <s v="State Policy Network_Platte Institute for Economic Research201723750"/>
    <x v="946"/>
    <x v="199"/>
    <x v="38"/>
    <n v="23750"/>
    <x v="3"/>
    <s v="added"/>
    <m/>
  </r>
  <r>
    <n v="990"/>
    <s v="State Policy Network_Show-Me Institute201770500"/>
    <x v="946"/>
    <x v="199"/>
    <x v="44"/>
    <n v="70500"/>
    <x v="3"/>
    <s v="added"/>
    <m/>
  </r>
  <r>
    <n v="990"/>
    <s v="State Policy Network_Washington Policy Center201715250"/>
    <x v="946"/>
    <x v="199"/>
    <x v="70"/>
    <n v="15250"/>
    <x v="3"/>
    <s v="added"/>
    <m/>
  </r>
  <r>
    <n v="990"/>
    <s v="State Policy Network_Wisconsin Institute for Law &amp; Liberty201755900"/>
    <x v="946"/>
    <x v="199"/>
    <x v="46"/>
    <n v="55900"/>
    <x v="3"/>
    <s v="added"/>
    <m/>
  </r>
  <r>
    <n v="990"/>
    <s v="State Policy Network_Yankee Institute for Public Policy2017134300"/>
    <x v="946"/>
    <x v="199"/>
    <x v="47"/>
    <n v="134300"/>
    <x v="3"/>
    <s v="added"/>
    <m/>
  </r>
  <r>
    <n v="990"/>
    <s v="State Policy Network_America's Future Foundation201612000"/>
    <x v="947"/>
    <x v="199"/>
    <x v="79"/>
    <n v="12000"/>
    <x v="4"/>
    <s v="added"/>
    <m/>
  </r>
  <r>
    <n v="990"/>
    <s v="State Policy Network_Beacon Center of Tennessee201650350"/>
    <x v="947"/>
    <x v="199"/>
    <x v="4"/>
    <n v="50350"/>
    <x v="4"/>
    <s v="added"/>
    <m/>
  </r>
  <r>
    <n v="990"/>
    <s v="State Policy Network_Buckeye Institute for Public Policy Solutions201622462"/>
    <x v="947"/>
    <x v="199"/>
    <x v="42"/>
    <n v="22462"/>
    <x v="4"/>
    <s v="added"/>
    <m/>
  </r>
  <r>
    <n v="990"/>
    <s v="State Policy Network_Cascade Policy Institute201641000"/>
    <x v="947"/>
    <x v="199"/>
    <x v="7"/>
    <n v="41000"/>
    <x v="4"/>
    <s v="added"/>
    <m/>
  </r>
  <r>
    <n v="990"/>
    <s v="State Policy Network_Center for the American Experiment201650700"/>
    <x v="947"/>
    <x v="199"/>
    <x v="9"/>
    <n v="50700"/>
    <x v="4"/>
    <s v="added"/>
    <m/>
  </r>
  <r>
    <n v="990"/>
    <s v="State Policy Network_Commonwealth Foundation for Public Policy Alternatives201647850"/>
    <x v="947"/>
    <x v="199"/>
    <x v="10"/>
    <n v="47850"/>
    <x v="4"/>
    <s v="added"/>
    <m/>
  </r>
  <r>
    <n v="990"/>
    <s v="State Policy Network_Evergreen Freedom Foundation201650000"/>
    <x v="947"/>
    <x v="199"/>
    <x v="14"/>
    <n v="50000"/>
    <x v="4"/>
    <s v="added"/>
    <m/>
  </r>
  <r>
    <n v="990"/>
    <s v="State Policy Network_Georgia Center for Opportunity201650000"/>
    <x v="947"/>
    <x v="199"/>
    <x v="15"/>
    <n v="50000"/>
    <x v="4"/>
    <s v="added"/>
    <m/>
  </r>
  <r>
    <n v="990"/>
    <s v="State Policy Network_Goldwater Institute for Public Policy201620000"/>
    <x v="947"/>
    <x v="199"/>
    <x v="17"/>
    <n v="20000"/>
    <x v="4"/>
    <s v="added"/>
    <m/>
  </r>
  <r>
    <n v="990"/>
    <s v="State Policy Network_Idaho Freedom Foundation201638350"/>
    <x v="947"/>
    <x v="199"/>
    <x v="59"/>
    <n v="38350"/>
    <x v="4"/>
    <s v="added"/>
    <m/>
  </r>
  <r>
    <n v="990"/>
    <s v="State Policy Network_Illinois Policy Institute2016150700"/>
    <x v="947"/>
    <x v="199"/>
    <x v="21"/>
    <n v="150700"/>
    <x v="4"/>
    <s v="added"/>
    <m/>
  </r>
  <r>
    <n v="990"/>
    <s v="State Policy Network_John W Pope Civitas Institute201640000"/>
    <x v="947"/>
    <x v="199"/>
    <x v="53"/>
    <n v="40000"/>
    <x v="4"/>
    <s v="added"/>
    <m/>
  </r>
  <r>
    <n v="990"/>
    <s v="State Policy Network_Mackinac Center for Public Policy201641289"/>
    <x v="947"/>
    <x v="199"/>
    <x v="30"/>
    <n v="41289"/>
    <x v="4"/>
    <s v="added"/>
    <m/>
  </r>
  <r>
    <n v="990"/>
    <s v="State Policy Network_Maryland Public Policy Institute201650000"/>
    <x v="947"/>
    <x v="199"/>
    <x v="72"/>
    <n v="50000"/>
    <x v="4"/>
    <s v="added"/>
    <m/>
  </r>
  <r>
    <n v="990"/>
    <s v="State Policy Network_Montana Policy Institute201621500"/>
    <x v="947"/>
    <x v="199"/>
    <x v="80"/>
    <n v="21500"/>
    <x v="4"/>
    <s v="added"/>
    <m/>
  </r>
  <r>
    <n v="990"/>
    <s v="State Policy Network_Palmetto Policy Forum201635000"/>
    <x v="947"/>
    <x v="199"/>
    <x v="34"/>
    <n v="35000"/>
    <x v="4"/>
    <s v="added"/>
    <m/>
  </r>
  <r>
    <n v="990"/>
    <s v="State Policy Network_Platte Institute for Economic Research201646000"/>
    <x v="947"/>
    <x v="199"/>
    <x v="38"/>
    <n v="46000"/>
    <x v="4"/>
    <s v="added"/>
    <m/>
  </r>
  <r>
    <n v="990"/>
    <s v="State Policy Network_South Carolina Policy Council20168000"/>
    <x v="947"/>
    <x v="199"/>
    <x v="40"/>
    <n v="8000"/>
    <x v="4"/>
    <s v="added"/>
    <s v="South Carolina Policy Council EIN 57-0835744"/>
  </r>
  <r>
    <n v="990"/>
    <s v="State Policy Network_Texas Public Policy Foundation201612000"/>
    <x v="947"/>
    <x v="199"/>
    <x v="41"/>
    <n v="12000"/>
    <x v="4"/>
    <s v="added"/>
    <m/>
  </r>
  <r>
    <n v="990"/>
    <s v="State Policy Network_James Madison Institute201645500"/>
    <x v="947"/>
    <x v="199"/>
    <x v="43"/>
    <n v="45500"/>
    <x v="4"/>
    <s v="added"/>
    <m/>
  </r>
  <r>
    <n v="990"/>
    <s v="State Policy Network_Show-Me Institute201640950"/>
    <x v="947"/>
    <x v="199"/>
    <x v="44"/>
    <n v="40950"/>
    <x v="4"/>
    <s v="added"/>
    <m/>
  </r>
  <r>
    <n v="990"/>
    <s v="State Policy Network_Wisconsin Institute for Law &amp; Liberty Inc.201642375"/>
    <x v="947"/>
    <x v="199"/>
    <x v="46"/>
    <n v="42375"/>
    <x v="4"/>
    <s v="added"/>
    <m/>
  </r>
  <r>
    <n v="990"/>
    <s v="State Policy Network_Alabama Policy Institute201535000"/>
    <x v="948"/>
    <x v="199"/>
    <x v="49"/>
    <n v="35000"/>
    <x v="5"/>
    <s v="added"/>
    <m/>
  </r>
  <r>
    <n v="990"/>
    <s v="State Policy Network_Buckeye Institute for Public Policy Solutions2015201250"/>
    <x v="948"/>
    <x v="199"/>
    <x v="42"/>
    <n v="201250"/>
    <x v="5"/>
    <s v="added"/>
    <m/>
  </r>
  <r>
    <n v="990"/>
    <s v="State Policy Network_California Policy Center201550000"/>
    <x v="948"/>
    <x v="199"/>
    <x v="5"/>
    <n v="50000"/>
    <x v="5"/>
    <s v="added"/>
    <m/>
  </r>
  <r>
    <n v="990"/>
    <s v="State Policy Network_Cardinal Institute for West Virginia Policy201537000"/>
    <x v="948"/>
    <x v="199"/>
    <x v="6"/>
    <n v="37000"/>
    <x v="5"/>
    <s v="added"/>
    <m/>
  </r>
  <r>
    <n v="990"/>
    <s v="State Policy Network_Cascade Policy Institute201583000"/>
    <x v="948"/>
    <x v="199"/>
    <x v="7"/>
    <n v="83000"/>
    <x v="5"/>
    <s v="added"/>
    <m/>
  </r>
  <r>
    <n v="990"/>
    <s v="State Policy Network_Empire Center for Public Policy201542300"/>
    <x v="948"/>
    <x v="199"/>
    <x v="11"/>
    <n v="42300"/>
    <x v="5"/>
    <s v="added"/>
    <m/>
  </r>
  <r>
    <n v="990"/>
    <s v="State Policy Network_Evergreen Freedom Foundation201560000"/>
    <x v="948"/>
    <x v="199"/>
    <x v="14"/>
    <n v="60000"/>
    <x v="5"/>
    <s v="added"/>
    <m/>
  </r>
  <r>
    <n v="990"/>
    <s v="State Policy Network_Georgia Public Policy Foundation20157000"/>
    <x v="948"/>
    <x v="199"/>
    <x v="16"/>
    <n v="7000"/>
    <x v="5"/>
    <s v="added"/>
    <m/>
  </r>
  <r>
    <n v="990"/>
    <s v="State Policy Network_Grassroot Institute of Hawaii201512500"/>
    <x v="948"/>
    <x v="199"/>
    <x v="81"/>
    <n v="12500"/>
    <x v="5"/>
    <s v="added"/>
    <s v="typo in original"/>
  </r>
  <r>
    <n v="990"/>
    <s v="State Policy Network_Illinois Policy Institute2015126300"/>
    <x v="948"/>
    <x v="199"/>
    <x v="21"/>
    <n v="126300"/>
    <x v="5"/>
    <s v="added"/>
    <m/>
  </r>
  <r>
    <n v="990"/>
    <s v="State Policy Network_Independence Institute201580000"/>
    <x v="948"/>
    <x v="199"/>
    <x v="22"/>
    <n v="80000"/>
    <x v="5"/>
    <s v="added"/>
    <m/>
  </r>
  <r>
    <n v="990"/>
    <s v="State Policy Network_Libertas Institute20157500"/>
    <x v="948"/>
    <x v="199"/>
    <x v="29"/>
    <n v="7500"/>
    <x v="5"/>
    <s v="added"/>
    <m/>
  </r>
  <r>
    <n v="990"/>
    <s v="State Policy Network_Mackinac Center for Public Policy201545000"/>
    <x v="948"/>
    <x v="199"/>
    <x v="30"/>
    <n v="45000"/>
    <x v="5"/>
    <s v="added"/>
    <m/>
  </r>
  <r>
    <n v="990"/>
    <s v="State Policy Network_Maryland Public Policy Institute201525000"/>
    <x v="948"/>
    <x v="199"/>
    <x v="72"/>
    <n v="25000"/>
    <x v="5"/>
    <s v="added"/>
    <m/>
  </r>
  <r>
    <n v="990"/>
    <s v="State Policy Network_Oklahoma Council of Public Affairs201555300"/>
    <x v="948"/>
    <x v="199"/>
    <x v="32"/>
    <n v="55300"/>
    <x v="5"/>
    <s v="added"/>
    <m/>
  </r>
  <r>
    <n v="990"/>
    <s v="State Policy Network_Palmetto Policy Forum201519000"/>
    <x v="948"/>
    <x v="199"/>
    <x v="34"/>
    <n v="19000"/>
    <x v="5"/>
    <s v="added"/>
    <m/>
  </r>
  <r>
    <n v="990"/>
    <s v="State Policy Network_Pioneer Institute201540000"/>
    <x v="948"/>
    <x v="199"/>
    <x v="37"/>
    <n v="40000"/>
    <x v="5"/>
    <s v="added"/>
    <m/>
  </r>
  <r>
    <n v="990"/>
    <s v="State Policy Network_Rhode Island Center for Freedom and Prosperity201549000"/>
    <x v="948"/>
    <x v="199"/>
    <x v="67"/>
    <n v="49000"/>
    <x v="5"/>
    <s v="added"/>
    <m/>
  </r>
  <r>
    <n v="990"/>
    <s v="State Policy Network_Sutherland Institute201550000"/>
    <x v="948"/>
    <x v="199"/>
    <x v="68"/>
    <n v="50000"/>
    <x v="5"/>
    <s v="added"/>
    <m/>
  </r>
  <r>
    <n v="990"/>
    <s v="State Policy Network_Talent Market20155000"/>
    <x v="948"/>
    <x v="199"/>
    <x v="50"/>
    <n v="5000"/>
    <x v="5"/>
    <s v="added"/>
    <m/>
  </r>
  <r>
    <n v="990"/>
    <s v="State Policy Network_James Madison Institute201541000"/>
    <x v="948"/>
    <x v="199"/>
    <x v="43"/>
    <n v="41000"/>
    <x v="5"/>
    <s v="added"/>
    <m/>
  </r>
  <r>
    <n v="990"/>
    <s v="State Policy Network_Show-Me Institute201542500"/>
    <x v="948"/>
    <x v="199"/>
    <x v="44"/>
    <n v="42500"/>
    <x v="5"/>
    <s v="added"/>
    <m/>
  </r>
  <r>
    <n v="990"/>
    <s v="State Policy Network_Yankee Institute201582500"/>
    <x v="948"/>
    <x v="199"/>
    <x v="47"/>
    <n v="82500"/>
    <x v="5"/>
    <s v="added"/>
    <m/>
  </r>
  <r>
    <s v="CT2017"/>
    <s v="State Policy Network_Advance Arkansas Institute201426000"/>
    <x v="949"/>
    <x v="199"/>
    <x v="82"/>
    <n v="26000"/>
    <x v="6"/>
    <s v="verified"/>
    <m/>
  </r>
  <r>
    <s v="CT2017"/>
    <s v="State Policy Network_Alabama Policy Institute201415000"/>
    <x v="949"/>
    <x v="199"/>
    <x v="49"/>
    <n v="15000"/>
    <x v="6"/>
    <s v="verified"/>
    <m/>
  </r>
  <r>
    <s v="CT2017"/>
    <s v="State Policy Network_Beacon Center of Tennessee201440000"/>
    <x v="949"/>
    <x v="199"/>
    <x v="4"/>
    <n v="40000"/>
    <x v="6"/>
    <s v="verified"/>
    <m/>
  </r>
  <r>
    <s v="CT2017"/>
    <s v="State Policy Network_Buckeye Institute for Public Policy Solutions201447250"/>
    <x v="949"/>
    <x v="199"/>
    <x v="42"/>
    <n v="47250"/>
    <x v="6"/>
    <s v="verified"/>
    <m/>
  </r>
  <r>
    <s v="CT2017"/>
    <s v="State Policy Network_California Policy Center201459100"/>
    <x v="949"/>
    <x v="199"/>
    <x v="5"/>
    <n v="59100"/>
    <x v="6"/>
    <s v="verified"/>
    <m/>
  </r>
  <r>
    <s v="CT2017"/>
    <s v="State Policy Network_Cascade Policy Institute201420000"/>
    <x v="949"/>
    <x v="199"/>
    <x v="7"/>
    <n v="20000"/>
    <x v="6"/>
    <s v="verified"/>
    <m/>
  </r>
  <r>
    <s v="CT2017"/>
    <s v="State Policy Network_Commonwealth Foundation for Public Policy Alternatives201426000"/>
    <x v="949"/>
    <x v="199"/>
    <x v="10"/>
    <n v="26000"/>
    <x v="6"/>
    <s v="verified"/>
    <m/>
  </r>
  <r>
    <s v="CT2017"/>
    <s v="State Policy Network_Evergreen Freedom Foundation201411000"/>
    <x v="949"/>
    <x v="199"/>
    <x v="14"/>
    <n v="11000"/>
    <x v="6"/>
    <s v="modified donor_name"/>
    <m/>
  </r>
  <r>
    <s v="CT2017"/>
    <s v="State Policy Network_Goldwater Institute for Public Policy201420300"/>
    <x v="949"/>
    <x v="199"/>
    <x v="17"/>
    <n v="20300"/>
    <x v="6"/>
    <s v="verified"/>
    <m/>
  </r>
  <r>
    <s v="CT2017"/>
    <s v="State Policy Network_Illinois Policy Institute201438300"/>
    <x v="949"/>
    <x v="199"/>
    <x v="21"/>
    <n v="38300"/>
    <x v="6"/>
    <s v="verified"/>
    <m/>
  </r>
  <r>
    <s v="CT2017"/>
    <s v="State Policy Network_Independence Institute201472350"/>
    <x v="949"/>
    <x v="199"/>
    <x v="22"/>
    <n v="72350"/>
    <x v="6"/>
    <s v="verified"/>
    <m/>
  </r>
  <r>
    <s v="CT2017"/>
    <s v="State Policy Network_James Madison Institute201440000"/>
    <x v="949"/>
    <x v="199"/>
    <x v="43"/>
    <n v="40000"/>
    <x v="6"/>
    <s v="verified"/>
    <m/>
  </r>
  <r>
    <s v="CT2017"/>
    <s v="State Policy Network_John Locke Foundation201450100"/>
    <x v="949"/>
    <x v="199"/>
    <x v="26"/>
    <n v="50100"/>
    <x v="6"/>
    <s v="verified"/>
    <m/>
  </r>
  <r>
    <s v="CT2017"/>
    <s v="State Policy Network_John W Pope Civitas Institute201410000"/>
    <x v="949"/>
    <x v="199"/>
    <x v="53"/>
    <n v="10000"/>
    <x v="6"/>
    <s v="verified"/>
    <m/>
  </r>
  <r>
    <s v="CT2017"/>
    <s v="State Policy Network_Kansas Policy Institute201414600"/>
    <x v="949"/>
    <x v="199"/>
    <x v="28"/>
    <n v="14600"/>
    <x v="6"/>
    <s v="verified"/>
    <m/>
  </r>
  <r>
    <s v="CT2017"/>
    <s v="State Policy Network_Mackinac Center for Public Policy201446300"/>
    <x v="949"/>
    <x v="199"/>
    <x v="30"/>
    <n v="46300"/>
    <x v="6"/>
    <s v="verified"/>
    <m/>
  </r>
  <r>
    <n v="990"/>
    <s v="State Policy Network_Maclver Institute201446600"/>
    <x v="949"/>
    <x v="199"/>
    <x v="83"/>
    <n v="46600"/>
    <x v="6"/>
    <s v="added"/>
    <m/>
  </r>
  <r>
    <s v="CT2017"/>
    <s v="State Policy Network_Maryland Public Policy Institute201415000"/>
    <x v="949"/>
    <x v="199"/>
    <x v="72"/>
    <n v="15000"/>
    <x v="6"/>
    <s v="verified"/>
    <m/>
  </r>
  <r>
    <s v="CT2017"/>
    <s v="State Policy Network_Montana Policy Institute201422000"/>
    <x v="949"/>
    <x v="199"/>
    <x v="80"/>
    <n v="22000"/>
    <x v="6"/>
    <s v="verified"/>
    <m/>
  </r>
  <r>
    <s v="CT2017"/>
    <s v="State Policy Network_Oklahoma Council of Public Affairs201440000"/>
    <x v="949"/>
    <x v="199"/>
    <x v="32"/>
    <n v="40000"/>
    <x v="6"/>
    <s v="verified"/>
    <m/>
  </r>
  <r>
    <s v="CT2017"/>
    <s v="State Policy Network_Palmetto Policy Forum201425000"/>
    <x v="949"/>
    <x v="199"/>
    <x v="34"/>
    <n v="25000"/>
    <x v="6"/>
    <s v="verified"/>
    <m/>
  </r>
  <r>
    <s v="CT2017"/>
    <s v="State Policy Network_Pelican Institute for Public Policy201410250"/>
    <x v="949"/>
    <x v="199"/>
    <x v="35"/>
    <n v="10250"/>
    <x v="6"/>
    <s v="verified"/>
    <m/>
  </r>
  <r>
    <s v="CT2017"/>
    <s v="State Policy Network_Platte Institute for Economic Research201413000"/>
    <x v="949"/>
    <x v="199"/>
    <x v="38"/>
    <n v="13000"/>
    <x v="6"/>
    <s v="verified"/>
    <m/>
  </r>
  <r>
    <s v="CT2017"/>
    <s v="State Policy Network_Rio Grande Foundation201410250"/>
    <x v="949"/>
    <x v="199"/>
    <x v="84"/>
    <n v="10250"/>
    <x v="6"/>
    <s v="verified"/>
    <m/>
  </r>
  <r>
    <s v="CT2017"/>
    <s v="State Policy Network_Show-Me Institute201476100"/>
    <x v="949"/>
    <x v="199"/>
    <x v="44"/>
    <n v="76100"/>
    <x v="6"/>
    <s v="verified"/>
    <m/>
  </r>
  <r>
    <s v="CT2017"/>
    <s v="State Policy Network_South Carolina Policy Council201425000"/>
    <x v="949"/>
    <x v="199"/>
    <x v="40"/>
    <n v="25000"/>
    <x v="6"/>
    <s v="modified donor_name"/>
    <s v="South Carolina Policy Institute EIN 57-0835744"/>
  </r>
  <r>
    <s v="CT2017"/>
    <s v="State Policy Network_Spark Freedom201471000"/>
    <x v="949"/>
    <x v="199"/>
    <x v="85"/>
    <n v="71000"/>
    <x v="6"/>
    <s v="verified"/>
    <m/>
  </r>
  <r>
    <s v="CT2017"/>
    <s v="State Policy Network_State Budget Solutions201430000"/>
    <x v="949"/>
    <x v="199"/>
    <x v="86"/>
    <n v="30000"/>
    <x v="6"/>
    <s v="verified"/>
    <m/>
  </r>
  <r>
    <s v="CT2017"/>
    <s v="State Policy Network_Sutherland Institute201465100"/>
    <x v="949"/>
    <x v="199"/>
    <x v="68"/>
    <n v="65100"/>
    <x v="6"/>
    <s v="verified"/>
    <m/>
  </r>
  <r>
    <s v="CT2017"/>
    <s v="State Policy Network_Texas Public Policy Foundation201489400"/>
    <x v="949"/>
    <x v="199"/>
    <x v="41"/>
    <n v="89400"/>
    <x v="6"/>
    <s v="verified"/>
    <m/>
  </r>
  <r>
    <s v="CT2017"/>
    <s v="State Policy Network_Thomas Jefferson Institute201415000"/>
    <x v="949"/>
    <x v="199"/>
    <x v="45"/>
    <n v="15000"/>
    <x v="6"/>
    <s v="verified"/>
    <m/>
  </r>
  <r>
    <s v="CT2017"/>
    <s v="State Policy Network_Washington Policy Center201418000"/>
    <x v="949"/>
    <x v="199"/>
    <x v="70"/>
    <n v="18000"/>
    <x v="6"/>
    <s v="verified"/>
    <m/>
  </r>
  <r>
    <s v="CT2017"/>
    <s v="State Policy Network_Advance Arkansas Institute201335000"/>
    <x v="950"/>
    <x v="199"/>
    <x v="82"/>
    <n v="35000"/>
    <x v="7"/>
    <s v="verified"/>
    <m/>
  </r>
  <r>
    <s v="CT2017"/>
    <s v="State Policy Network_Bluegrass Institute for Public Policy Solutions201330000"/>
    <x v="950"/>
    <x v="199"/>
    <x v="61"/>
    <n v="30000"/>
    <x v="7"/>
    <s v="verified"/>
    <m/>
  </r>
  <r>
    <s v="CT2017"/>
    <s v="State Policy Network_Cascade Policy Institute201340000"/>
    <x v="950"/>
    <x v="199"/>
    <x v="7"/>
    <n v="40000"/>
    <x v="7"/>
    <s v="verified"/>
    <m/>
  </r>
  <r>
    <s v="CT2017"/>
    <s v="State Policy Network_Center for Constitutional Law201320000"/>
    <x v="950"/>
    <x v="199"/>
    <x v="87"/>
    <n v="20000"/>
    <x v="7"/>
    <s v="verified"/>
    <m/>
  </r>
  <r>
    <s v="CT2017"/>
    <s v="State Policy Network_Commonwealth Foundation for Public Policy Alternatives2013131250"/>
    <x v="950"/>
    <x v="199"/>
    <x v="10"/>
    <n v="131250"/>
    <x v="7"/>
    <s v="verified"/>
    <m/>
  </r>
  <r>
    <s v="CT2017"/>
    <s v="State Policy Network_Empire Center for Public Policy201351500"/>
    <x v="950"/>
    <x v="199"/>
    <x v="11"/>
    <n v="51500"/>
    <x v="7"/>
    <s v="verified"/>
    <m/>
  </r>
  <r>
    <s v="CT2017"/>
    <s v="State Policy Network_Ethan Allen Institute201324930"/>
    <x v="950"/>
    <x v="199"/>
    <x v="88"/>
    <n v="24930"/>
    <x v="7"/>
    <s v="verified"/>
    <m/>
  </r>
  <r>
    <s v="CT2017"/>
    <s v="State Policy Network_Foundation for Government Accountability201355000"/>
    <x v="950"/>
    <x v="199"/>
    <x v="13"/>
    <n v="55000"/>
    <x v="7"/>
    <s v="verified"/>
    <m/>
  </r>
  <r>
    <s v="CT2017"/>
    <s v="State Policy Network_Freedom Foundation of Minnesota201310000"/>
    <x v="950"/>
    <x v="199"/>
    <x v="89"/>
    <n v="10000"/>
    <x v="7"/>
    <s v="verified"/>
    <m/>
  </r>
  <r>
    <s v="CT2017"/>
    <s v="State Policy Network_Evergreen Freedom Foundation201380250"/>
    <x v="950"/>
    <x v="199"/>
    <x v="14"/>
    <n v="80250"/>
    <x v="7"/>
    <s v="modified donor_name"/>
    <m/>
  </r>
  <r>
    <s v="CT2017"/>
    <s v="State Policy Network_Georgia Center for Opportunity201340000"/>
    <x v="950"/>
    <x v="199"/>
    <x v="15"/>
    <n v="40000"/>
    <x v="7"/>
    <s v="verified"/>
    <m/>
  </r>
  <r>
    <s v="CT2017"/>
    <s v="State Policy Network_Goldwater Institute for Public Policy201340000"/>
    <x v="950"/>
    <x v="199"/>
    <x v="17"/>
    <n v="40000"/>
    <x v="7"/>
    <s v="verified"/>
    <m/>
  </r>
  <r>
    <s v="CT2017"/>
    <s v="State Policy Network_Illinois Policy Institute201345000"/>
    <x v="950"/>
    <x v="199"/>
    <x v="21"/>
    <n v="45000"/>
    <x v="7"/>
    <s v="verified"/>
    <m/>
  </r>
  <r>
    <s v="CT2017"/>
    <s v="State Policy Network_Independence Institute201325000"/>
    <x v="950"/>
    <x v="199"/>
    <x v="22"/>
    <n v="25000"/>
    <x v="7"/>
    <s v="verified"/>
    <m/>
  </r>
  <r>
    <s v="CT2017"/>
    <s v="State Policy Network_James Madison Institute201312200"/>
    <x v="950"/>
    <x v="199"/>
    <x v="43"/>
    <n v="12200"/>
    <x v="7"/>
    <s v="verified"/>
    <m/>
  </r>
  <r>
    <s v="CT2017"/>
    <s v="State Policy Network_Josiah Bartlett Center for Public Policy201323250"/>
    <x v="950"/>
    <x v="199"/>
    <x v="27"/>
    <n v="23250"/>
    <x v="7"/>
    <s v="verified"/>
    <m/>
  </r>
  <r>
    <s v="CT2017"/>
    <s v="State Policy Network_Kansas Policy Institute201340000"/>
    <x v="950"/>
    <x v="199"/>
    <x v="28"/>
    <n v="40000"/>
    <x v="7"/>
    <s v="verified"/>
    <m/>
  </r>
  <r>
    <s v="CT2017"/>
    <s v="State Policy Network_Liberty Foundation201324700"/>
    <x v="950"/>
    <x v="199"/>
    <x v="90"/>
    <n v="24700"/>
    <x v="7"/>
    <s v="verified"/>
    <m/>
  </r>
  <r>
    <s v="CT2017"/>
    <s v="State Policy Network_Mackinac Center for Public Policy201321000"/>
    <x v="950"/>
    <x v="199"/>
    <x v="30"/>
    <n v="21000"/>
    <x v="7"/>
    <s v="verified"/>
    <m/>
  </r>
  <r>
    <s v="CT2017"/>
    <s v="State Policy Network_Maine Heritage Policy Center201350000"/>
    <x v="950"/>
    <x v="199"/>
    <x v="56"/>
    <n v="50000"/>
    <x v="7"/>
    <s v="verified"/>
    <m/>
  </r>
  <r>
    <s v="CT2017"/>
    <s v="State Policy Network_Maryland Public Policy Institute201325000"/>
    <x v="950"/>
    <x v="199"/>
    <x v="72"/>
    <n v="25000"/>
    <x v="7"/>
    <s v="verified"/>
    <m/>
  </r>
  <r>
    <s v="CT2017"/>
    <s v="State Policy Network_Oklahoma Council of Public Affairs201325000"/>
    <x v="950"/>
    <x v="199"/>
    <x v="32"/>
    <n v="25000"/>
    <x v="7"/>
    <s v="verified"/>
    <m/>
  </r>
  <r>
    <s v="CT2017"/>
    <s v="State Policy Network_Opportunity Ohio2013129000"/>
    <x v="950"/>
    <x v="199"/>
    <x v="91"/>
    <n v="129000"/>
    <x v="7"/>
    <s v="verified"/>
    <m/>
  </r>
  <r>
    <s v="CT2017"/>
    <s v="State Policy Network_Platte Institute for Economic Research201328000"/>
    <x v="950"/>
    <x v="199"/>
    <x v="38"/>
    <n v="28000"/>
    <x v="7"/>
    <s v="verified"/>
    <m/>
  </r>
  <r>
    <s v="CT2017"/>
    <s v="State Policy Network_Rhode Island Center for Freedom and Prosperity201338000"/>
    <x v="950"/>
    <x v="199"/>
    <x v="67"/>
    <n v="38000"/>
    <x v="7"/>
    <s v="verified"/>
    <m/>
  </r>
  <r>
    <s v="CT2017"/>
    <s v="State Policy Network_Show-Me Institute20136500"/>
    <x v="950"/>
    <x v="199"/>
    <x v="44"/>
    <n v="6500"/>
    <x v="7"/>
    <s v="verified"/>
    <m/>
  </r>
  <r>
    <s v="CT2017"/>
    <s v="State Policy Network_South Carolina Policy Council2013100000"/>
    <x v="950"/>
    <x v="199"/>
    <x v="40"/>
    <n v="100000"/>
    <x v="7"/>
    <s v="modified donor_name"/>
    <s v="South Carolina Policy Institute EIN 57-0835744"/>
  </r>
  <r>
    <s v="CT2017"/>
    <s v="State Policy Network_Spark Freedom201322500"/>
    <x v="950"/>
    <x v="199"/>
    <x v="85"/>
    <n v="22500"/>
    <x v="7"/>
    <s v="verified"/>
    <m/>
  </r>
  <r>
    <s v="CT2017"/>
    <s v="State Policy Network_Sutherland Institute201341000"/>
    <x v="950"/>
    <x v="199"/>
    <x v="68"/>
    <n v="41000"/>
    <x v="7"/>
    <s v="verified"/>
    <m/>
  </r>
  <r>
    <s v="CT2017"/>
    <s v="State Policy Network_Talent Market20135000"/>
    <x v="950"/>
    <x v="199"/>
    <x v="50"/>
    <n v="5000"/>
    <x v="7"/>
    <s v="verified"/>
    <m/>
  </r>
  <r>
    <s v="CT2017"/>
    <s v="State Policy Network_Texas Public Policy Foundation201390000"/>
    <x v="950"/>
    <x v="199"/>
    <x v="41"/>
    <n v="90000"/>
    <x v="7"/>
    <s v="verified"/>
    <m/>
  </r>
  <r>
    <s v="CT2017"/>
    <s v="State Policy Network_Washington Policy Center201324628"/>
    <x v="950"/>
    <x v="199"/>
    <x v="70"/>
    <n v="24628"/>
    <x v="7"/>
    <s v="verified"/>
    <m/>
  </r>
  <r>
    <s v="CT2017"/>
    <s v="State Policy Network_Alabama Policy Institute201210000"/>
    <x v="951"/>
    <x v="199"/>
    <x v="49"/>
    <n v="10000"/>
    <x v="8"/>
    <s v="verified"/>
    <m/>
  </r>
  <r>
    <s v="CT2017"/>
    <s v="State Policy Network_American Phoenix Foundation201225000"/>
    <x v="951"/>
    <x v="199"/>
    <x v="92"/>
    <n v="25000"/>
    <x v="8"/>
    <s v="verified"/>
    <m/>
  </r>
  <r>
    <s v="CT2017"/>
    <s v="State Policy Network_Beacon Center of Tennessee20125000"/>
    <x v="951"/>
    <x v="199"/>
    <x v="4"/>
    <n v="5000"/>
    <x v="8"/>
    <s v="verified"/>
    <m/>
  </r>
  <r>
    <s v="CT2017"/>
    <s v="State Policy Network_Buckeye Institute for Public Policy Solutions20125000"/>
    <x v="951"/>
    <x v="199"/>
    <x v="42"/>
    <n v="5000"/>
    <x v="8"/>
    <s v="verified"/>
    <m/>
  </r>
  <r>
    <s v="CT2017"/>
    <s v="State Policy Network_Commonwealth Foundation for Public Policy Alternatives201282500"/>
    <x v="951"/>
    <x v="199"/>
    <x v="10"/>
    <n v="82500"/>
    <x v="8"/>
    <s v="verified"/>
    <m/>
  </r>
  <r>
    <s v="CT2017"/>
    <s v="State Policy Network_First Freedom Foundation of South Dakota201210000"/>
    <x v="951"/>
    <x v="199"/>
    <x v="93"/>
    <n v="10000"/>
    <x v="8"/>
    <s v="verified"/>
    <m/>
  </r>
  <r>
    <s v="CT2017"/>
    <s v="State Policy Network_Foundation for Government Accountability2012108150"/>
    <x v="951"/>
    <x v="199"/>
    <x v="13"/>
    <n v="108150"/>
    <x v="8"/>
    <s v="verified"/>
    <m/>
  </r>
  <r>
    <s v="CT2017"/>
    <s v="State Policy Network_Franklin Center for Government and Public Integrity2012100000"/>
    <x v="951"/>
    <x v="199"/>
    <x v="94"/>
    <n v="100000"/>
    <x v="8"/>
    <s v="verified"/>
    <m/>
  </r>
  <r>
    <s v="CT2017"/>
    <s v="State Policy Network_Freedom Foundation of Minnesota201229500"/>
    <x v="951"/>
    <x v="199"/>
    <x v="89"/>
    <n v="29500"/>
    <x v="8"/>
    <s v="verified"/>
    <m/>
  </r>
  <r>
    <s v="CT2017"/>
    <s v="State Policy Network_Evergreen Freedom Foundation201251000"/>
    <x v="951"/>
    <x v="199"/>
    <x v="14"/>
    <n v="51000"/>
    <x v="8"/>
    <s v="modified donor_name"/>
    <m/>
  </r>
  <r>
    <s v="CT2017"/>
    <s v="State Policy Network_Goldwater Institute for Public Policy201225000"/>
    <x v="951"/>
    <x v="199"/>
    <x v="17"/>
    <n v="25000"/>
    <x v="8"/>
    <s v="verified"/>
    <m/>
  </r>
  <r>
    <s v="CT2017"/>
    <s v="State Policy Network_Idaho Freedom Foundation201230000"/>
    <x v="951"/>
    <x v="199"/>
    <x v="59"/>
    <n v="30000"/>
    <x v="8"/>
    <s v="verified"/>
    <m/>
  </r>
  <r>
    <s v="CT2017"/>
    <s v="State Policy Network_Illinois Policy Institute2012167000"/>
    <x v="951"/>
    <x v="199"/>
    <x v="21"/>
    <n v="167000"/>
    <x v="8"/>
    <s v="verified"/>
    <m/>
  </r>
  <r>
    <s v="CT2017"/>
    <s v="State Policy Network_Independence Institute201295000"/>
    <x v="951"/>
    <x v="199"/>
    <x v="22"/>
    <n v="95000"/>
    <x v="8"/>
    <s v="verified"/>
    <m/>
  </r>
  <r>
    <s v="CT2017"/>
    <s v="State Policy Network_James Madison Institute2012200000"/>
    <x v="951"/>
    <x v="199"/>
    <x v="43"/>
    <n v="200000"/>
    <x v="8"/>
    <s v="verified"/>
    <m/>
  </r>
  <r>
    <s v="CT2017"/>
    <s v="State Policy Network_John W Pope Civitas Institute201230000"/>
    <x v="951"/>
    <x v="199"/>
    <x v="53"/>
    <n v="30000"/>
    <x v="8"/>
    <s v="verified"/>
    <m/>
  </r>
  <r>
    <s v="CT2017"/>
    <s v="State Policy Network_Mackinac Center for Public Policy201269250"/>
    <x v="951"/>
    <x v="199"/>
    <x v="30"/>
    <n v="69250"/>
    <x v="8"/>
    <s v="verified"/>
    <m/>
  </r>
  <r>
    <s v="CT2017"/>
    <s v="State Policy Network_Maine Heritage Policy Center20125000"/>
    <x v="951"/>
    <x v="199"/>
    <x v="56"/>
    <n v="5000"/>
    <x v="8"/>
    <s v="verified"/>
    <m/>
  </r>
  <r>
    <s v="CT2017"/>
    <s v="State Policy Network_Manhattan Institute for Policy Research201230000"/>
    <x v="951"/>
    <x v="199"/>
    <x v="95"/>
    <n v="30000"/>
    <x v="8"/>
    <s v="verified"/>
    <m/>
  </r>
  <r>
    <s v="CT2017"/>
    <s v="State Policy Network_Montana Policy Institute201267000"/>
    <x v="951"/>
    <x v="199"/>
    <x v="80"/>
    <n v="67000"/>
    <x v="8"/>
    <s v="verified"/>
    <m/>
  </r>
  <r>
    <s v="CT2017"/>
    <s v="State Policy Network_North Dakota Policy institute201227000"/>
    <x v="951"/>
    <x v="199"/>
    <x v="96"/>
    <n v="27000"/>
    <x v="8"/>
    <s v="verified"/>
    <m/>
  </r>
  <r>
    <s v="CT2017"/>
    <s v="State Policy Network_Oklahoma Council of Public Affairs2012150000"/>
    <x v="951"/>
    <x v="199"/>
    <x v="32"/>
    <n v="150000"/>
    <x v="8"/>
    <s v="verified"/>
    <m/>
  </r>
  <r>
    <s v="CT2017"/>
    <s v="State Policy Network_Operation Geek Farm2012221900"/>
    <x v="951"/>
    <x v="199"/>
    <x v="97"/>
    <n v="221900"/>
    <x v="8"/>
    <s v="verified"/>
    <m/>
  </r>
  <r>
    <s v="CT2017"/>
    <s v="State Policy Network_Opportunity Ohio2012265775"/>
    <x v="951"/>
    <x v="199"/>
    <x v="91"/>
    <n v="265775"/>
    <x v="8"/>
    <s v="modified donor_name"/>
    <m/>
  </r>
  <r>
    <s v="CT2017"/>
    <s v="State Policy Network_Oregon Capital Watch Fund2012200000"/>
    <x v="951"/>
    <x v="199"/>
    <x v="98"/>
    <n v="200000"/>
    <x v="8"/>
    <s v="verified"/>
    <m/>
  </r>
  <r>
    <s v="CT2017"/>
    <s v="State Policy Network_South Carolina Policy Council201255000"/>
    <x v="951"/>
    <x v="199"/>
    <x v="40"/>
    <n v="55000"/>
    <x v="8"/>
    <s v="verified"/>
    <s v="South Carolina Policy Council EIN 57-0835744"/>
  </r>
  <r>
    <s v="CT2017"/>
    <s v="State Policy Network_Spark Freedom201225000"/>
    <x v="951"/>
    <x v="199"/>
    <x v="85"/>
    <n v="25000"/>
    <x v="8"/>
    <s v="verified"/>
    <m/>
  </r>
  <r>
    <s v="CT2017"/>
    <s v="State Policy Network_Sutherland Institute201275000"/>
    <x v="951"/>
    <x v="199"/>
    <x v="68"/>
    <n v="75000"/>
    <x v="8"/>
    <s v="verified"/>
    <m/>
  </r>
  <r>
    <s v="CT2017"/>
    <s v="State Policy Network_Texas Conservative Coalition201230000"/>
    <x v="951"/>
    <x v="199"/>
    <x v="99"/>
    <n v="30000"/>
    <x v="8"/>
    <s v="verified"/>
    <m/>
  </r>
  <r>
    <s v="CT2017"/>
    <s v="State Policy Network_Texas Public Policy Foundation201230000"/>
    <x v="951"/>
    <x v="199"/>
    <x v="41"/>
    <n v="30000"/>
    <x v="8"/>
    <s v="verified"/>
    <m/>
  </r>
  <r>
    <s v="CT2017"/>
    <s v="State Policy Network_True The Vote201240000"/>
    <x v="951"/>
    <x v="199"/>
    <x v="100"/>
    <n v="40000"/>
    <x v="8"/>
    <s v="verified"/>
    <m/>
  </r>
  <r>
    <s v="CT2017"/>
    <s v="State Policy Network_Washington Policy Center20129250"/>
    <x v="951"/>
    <x v="199"/>
    <x v="70"/>
    <n v="9250"/>
    <x v="8"/>
    <s v="verified"/>
    <m/>
  </r>
  <r>
    <s v="CT2017"/>
    <s v="State Policy Network_Where's The Line201230000"/>
    <x v="951"/>
    <x v="199"/>
    <x v="101"/>
    <n v="30000"/>
    <x v="8"/>
    <s v="verified"/>
    <m/>
  </r>
  <r>
    <s v="CT2017"/>
    <s v="State Policy Network_Wyoming Policy Institute201222500"/>
    <x v="951"/>
    <x v="199"/>
    <x v="102"/>
    <n v="22500"/>
    <x v="8"/>
    <s v="verified"/>
    <m/>
  </r>
  <r>
    <s v="CT2017"/>
    <s v="State Policy Network_Advance Arkansas Institute201150000"/>
    <x v="952"/>
    <x v="199"/>
    <x v="82"/>
    <n v="50000"/>
    <x v="9"/>
    <m/>
    <m/>
  </r>
  <r>
    <s v="CT2017"/>
    <s v="State Policy Network_Beacon Hill Institute201129500"/>
    <x v="952"/>
    <x v="199"/>
    <x v="103"/>
    <n v="29500"/>
    <x v="9"/>
    <m/>
    <m/>
  </r>
  <r>
    <s v="CT2017"/>
    <s v="State Policy Network_Buckeye Institute for Public Policy Solutions201120000"/>
    <x v="952"/>
    <x v="199"/>
    <x v="42"/>
    <n v="20000"/>
    <x v="9"/>
    <m/>
    <m/>
  </r>
  <r>
    <s v="CT2017"/>
    <s v="State Policy Network_Cascade Policy Institute201130000"/>
    <x v="952"/>
    <x v="199"/>
    <x v="7"/>
    <n v="30000"/>
    <x v="9"/>
    <m/>
    <m/>
  </r>
  <r>
    <s v="CT2017"/>
    <s v="State Policy Network_Commonwealth Foundation for Public Policy Alternatives201145000"/>
    <x v="952"/>
    <x v="199"/>
    <x v="10"/>
    <n v="45000"/>
    <x v="9"/>
    <m/>
    <m/>
  </r>
  <r>
    <s v="CT2017"/>
    <s v="State Policy Network_First Freedom Foundation of South Dakota201110000"/>
    <x v="952"/>
    <x v="199"/>
    <x v="93"/>
    <n v="10000"/>
    <x v="9"/>
    <m/>
    <m/>
  </r>
  <r>
    <s v="CT2017"/>
    <s v="State Policy Network_Foundation for Government Accountability201160000"/>
    <x v="952"/>
    <x v="199"/>
    <x v="13"/>
    <n v="60000"/>
    <x v="9"/>
    <m/>
    <m/>
  </r>
  <r>
    <s v="CT2017"/>
    <s v="State Policy Network_Evergreen Freedom Foundation201133500"/>
    <x v="952"/>
    <x v="199"/>
    <x v="14"/>
    <n v="33500"/>
    <x v="9"/>
    <s v="modified donor_name"/>
    <m/>
  </r>
  <r>
    <s v="CT2017"/>
    <s v="State Policy Network_Georgia Public Policy Foundation201124500"/>
    <x v="952"/>
    <x v="199"/>
    <x v="16"/>
    <n v="24500"/>
    <x v="9"/>
    <m/>
    <m/>
  </r>
  <r>
    <s v="CT2017"/>
    <s v="State Policy Network_Goldwater Institute for Public Policy201130000"/>
    <x v="952"/>
    <x v="199"/>
    <x v="17"/>
    <n v="30000"/>
    <x v="9"/>
    <m/>
    <m/>
  </r>
  <r>
    <s v="CT2017"/>
    <s v="State Policy Network_Illinois Policy Institute201180000"/>
    <x v="952"/>
    <x v="199"/>
    <x v="21"/>
    <n v="80000"/>
    <x v="9"/>
    <m/>
    <m/>
  </r>
  <r>
    <s v="CT2017"/>
    <s v="State Policy Network_Mackinac Center for Public Policy201160000"/>
    <x v="952"/>
    <x v="199"/>
    <x v="30"/>
    <n v="60000"/>
    <x v="9"/>
    <m/>
    <m/>
  </r>
  <r>
    <s v="CT2017"/>
    <s v="State Policy Network_North Dakota Policy institute201153000"/>
    <x v="952"/>
    <x v="199"/>
    <x v="96"/>
    <n v="53000"/>
    <x v="9"/>
    <m/>
    <m/>
  </r>
  <r>
    <s v="CT2017"/>
    <s v="State Policy Network_Oklahoma Council of Public Affairs201130000"/>
    <x v="952"/>
    <x v="199"/>
    <x v="32"/>
    <n v="30000"/>
    <x v="9"/>
    <m/>
    <m/>
  </r>
  <r>
    <s v="CT2017"/>
    <s v="State Policy Network_Operation Geek Farm2011275000"/>
    <x v="952"/>
    <x v="199"/>
    <x v="97"/>
    <n v="275000"/>
    <x v="9"/>
    <m/>
    <m/>
  </r>
  <r>
    <s v="CT2017"/>
    <s v="State Policy Network_Oregon Capital Watch Fund201190000"/>
    <x v="952"/>
    <x v="199"/>
    <x v="98"/>
    <n v="90000"/>
    <x v="9"/>
    <m/>
    <m/>
  </r>
  <r>
    <s v="CT2017"/>
    <s v="State Policy Network_Rhode Island Center for Freedom and Prosperity2011122000"/>
    <x v="952"/>
    <x v="199"/>
    <x v="67"/>
    <n v="122000"/>
    <x v="9"/>
    <m/>
    <m/>
  </r>
  <r>
    <s v="CT2017"/>
    <s v="State Policy Network_Rio Grande Foundation201130000"/>
    <x v="952"/>
    <x v="199"/>
    <x v="84"/>
    <n v="30000"/>
    <x v="9"/>
    <m/>
    <m/>
  </r>
  <r>
    <s v="CT2017"/>
    <s v="State Policy Network_Thomas Jefferson Institute201150000"/>
    <x v="952"/>
    <x v="199"/>
    <x v="45"/>
    <n v="50000"/>
    <x v="9"/>
    <m/>
    <m/>
  </r>
  <r>
    <s v="CT2017"/>
    <s v="State Policy Network_TNReportcom News Services20117985"/>
    <x v="952"/>
    <x v="199"/>
    <x v="104"/>
    <n v="7985"/>
    <x v="9"/>
    <m/>
    <m/>
  </r>
  <r>
    <s v="CT2017"/>
    <s v="State Policy Network_Washington Policy Center20119675"/>
    <x v="952"/>
    <x v="199"/>
    <x v="70"/>
    <n v="9675"/>
    <x v="9"/>
    <m/>
    <m/>
  </r>
  <r>
    <s v="CT2017"/>
    <s v="State Policy Network_Beacon Hill Institute201029500"/>
    <x v="953"/>
    <x v="199"/>
    <x v="103"/>
    <n v="29500"/>
    <x v="10"/>
    <m/>
    <m/>
  </r>
  <r>
    <s v="CT2017"/>
    <s v="State Policy Network_Caesar Rodney Institute201026000"/>
    <x v="953"/>
    <x v="199"/>
    <x v="105"/>
    <n v="26000"/>
    <x v="10"/>
    <m/>
    <m/>
  </r>
  <r>
    <s v="CT2017"/>
    <s v="State Policy Network_Cascade Policy Institute201030000"/>
    <x v="953"/>
    <x v="199"/>
    <x v="7"/>
    <n v="30000"/>
    <x v="10"/>
    <m/>
    <m/>
  </r>
  <r>
    <s v="CT2017"/>
    <s v="State Policy Network_Commonwealth Foundation for Public Policy Alternatives201056500"/>
    <x v="953"/>
    <x v="199"/>
    <x v="10"/>
    <n v="56500"/>
    <x v="10"/>
    <m/>
    <m/>
  </r>
  <r>
    <s v="CT2017"/>
    <s v="State Policy Network_Everglades Legal Foundation2010150000"/>
    <x v="953"/>
    <x v="199"/>
    <x v="106"/>
    <n v="150000"/>
    <x v="10"/>
    <m/>
    <m/>
  </r>
  <r>
    <s v="CT2017"/>
    <s v="State Policy Network_Independence Institute201072500"/>
    <x v="953"/>
    <x v="199"/>
    <x v="22"/>
    <n v="72500"/>
    <x v="10"/>
    <m/>
    <m/>
  </r>
  <r>
    <s v="CT2017"/>
    <s v="State Policy Network_James Madison Institute201054000"/>
    <x v="953"/>
    <x v="199"/>
    <x v="43"/>
    <n v="54000"/>
    <x v="10"/>
    <m/>
    <m/>
  </r>
  <r>
    <s v="CT2017"/>
    <s v="State Policy Network_Mackinac Center for Public Policy201025000"/>
    <x v="953"/>
    <x v="199"/>
    <x v="30"/>
    <n v="25000"/>
    <x v="10"/>
    <m/>
    <m/>
  </r>
  <r>
    <s v="CT2017"/>
    <s v="State Policy Network_Maine Heritage Policy Center201031000"/>
    <x v="953"/>
    <x v="199"/>
    <x v="56"/>
    <n v="31000"/>
    <x v="10"/>
    <m/>
    <m/>
  </r>
  <r>
    <s v="CT2017"/>
    <s v="State Policy Network_Maryland Public Policy Institute201030000"/>
    <x v="953"/>
    <x v="199"/>
    <x v="72"/>
    <n v="30000"/>
    <x v="10"/>
    <m/>
    <m/>
  </r>
  <r>
    <s v="CT2017"/>
    <s v="State Policy Network_Montana Policy Institute201038000"/>
    <x v="953"/>
    <x v="199"/>
    <x v="80"/>
    <n v="38000"/>
    <x v="10"/>
    <m/>
    <m/>
  </r>
  <r>
    <s v="CT2017"/>
    <s v="State Policy Network_Nevada Policy Research Institute201035500"/>
    <x v="953"/>
    <x v="199"/>
    <x v="66"/>
    <n v="35500"/>
    <x v="10"/>
    <m/>
    <m/>
  </r>
  <r>
    <s v="CT2017"/>
    <s v="State Policy Network_Open Government Institute of California201010000"/>
    <x v="953"/>
    <x v="199"/>
    <x v="107"/>
    <n v="10000"/>
    <x v="10"/>
    <m/>
    <m/>
  </r>
  <r>
    <s v="CT2017"/>
    <s v="State Policy Network_Pelican Institute20108000"/>
    <x v="953"/>
    <x v="199"/>
    <x v="108"/>
    <n v="8000"/>
    <x v="10"/>
    <m/>
    <m/>
  </r>
  <r>
    <s v="CT2017"/>
    <s v="State Policy Network_Solutions for New Jersey201012500"/>
    <x v="953"/>
    <x v="199"/>
    <x v="109"/>
    <n v="12500"/>
    <x v="10"/>
    <m/>
    <m/>
  </r>
  <r>
    <s v="CT2017"/>
    <s v="State Policy Network_South Carolina Policy Council201031500"/>
    <x v="953"/>
    <x v="199"/>
    <x v="40"/>
    <n v="31500"/>
    <x v="10"/>
    <m/>
    <s v="South Carolina Policy Council EIN 57-0835744"/>
  </r>
  <r>
    <s v="CT2017"/>
    <s v="State Policy Network_Texas Public Policy Foundation201019500"/>
    <x v="953"/>
    <x v="199"/>
    <x v="41"/>
    <n v="19500"/>
    <x v="10"/>
    <m/>
    <m/>
  </r>
  <r>
    <s v="CT2017"/>
    <s v="State Policy Network_Washington Policy Center201042750"/>
    <x v="953"/>
    <x v="199"/>
    <x v="70"/>
    <n v="42750"/>
    <x v="10"/>
    <m/>
    <m/>
  </r>
  <r>
    <s v="CT2017"/>
    <s v="State Policy Network_Alabama Policy Institute200930000"/>
    <x v="954"/>
    <x v="199"/>
    <x v="49"/>
    <n v="30000"/>
    <x v="11"/>
    <m/>
    <m/>
  </r>
  <r>
    <s v="CT2017"/>
    <s v="State Policy Network_Arkanansas Policy Foundation20096100"/>
    <x v="954"/>
    <x v="199"/>
    <x v="110"/>
    <n v="6100"/>
    <x v="11"/>
    <m/>
    <m/>
  </r>
  <r>
    <s v="CT2017"/>
    <s v="State Policy Network_Cascade Policy Institute200930000"/>
    <x v="954"/>
    <x v="199"/>
    <x v="7"/>
    <n v="30000"/>
    <x v="11"/>
    <m/>
    <m/>
  </r>
  <r>
    <s v="CT2017"/>
    <s v="State Policy Network_Common Sense Institute of New Jersey200950000"/>
    <x v="954"/>
    <x v="199"/>
    <x v="111"/>
    <n v="50000"/>
    <x v="11"/>
    <m/>
    <m/>
  </r>
  <r>
    <s v="CT2017"/>
    <s v="State Policy Network_Empire Center for Public Policy200930000"/>
    <x v="954"/>
    <x v="199"/>
    <x v="11"/>
    <n v="30000"/>
    <x v="11"/>
    <m/>
    <m/>
  </r>
  <r>
    <s v="CT2017"/>
    <s v="State Policy Network_Everglades Legal Foundation200920000"/>
    <x v="954"/>
    <x v="199"/>
    <x v="106"/>
    <n v="20000"/>
    <x v="11"/>
    <m/>
    <m/>
  </r>
  <r>
    <s v="CT2017"/>
    <s v="State Policy Network_Idaho Freedom Foundation2009110000"/>
    <x v="954"/>
    <x v="199"/>
    <x v="59"/>
    <n v="110000"/>
    <x v="11"/>
    <m/>
    <m/>
  </r>
  <r>
    <s v="CT2017"/>
    <s v="State Policy Network_Idaho Freedom Foundation2009135000"/>
    <x v="954"/>
    <x v="199"/>
    <x v="59"/>
    <n v="135000"/>
    <x v="11"/>
    <m/>
    <m/>
  </r>
  <r>
    <s v="CT2017"/>
    <s v="State Policy Network_Illinois Policy Institute200930000"/>
    <x v="954"/>
    <x v="199"/>
    <x v="21"/>
    <n v="30000"/>
    <x v="11"/>
    <m/>
    <m/>
  </r>
  <r>
    <s v="CT2017"/>
    <s v="State Policy Network_Josiah Bartlett Center for Public Policy200926000"/>
    <x v="954"/>
    <x v="199"/>
    <x v="27"/>
    <n v="26000"/>
    <x v="11"/>
    <m/>
    <m/>
  </r>
  <r>
    <s v="CT2017"/>
    <s v="State Policy Network_Liberty on the Rocks200950000"/>
    <x v="954"/>
    <x v="199"/>
    <x v="112"/>
    <n v="50000"/>
    <x v="11"/>
    <m/>
    <m/>
  </r>
  <r>
    <s v="CT2017"/>
    <s v="State Policy Network_Maine Heritage Policy Center200930000"/>
    <x v="954"/>
    <x v="199"/>
    <x v="56"/>
    <n v="30000"/>
    <x v="11"/>
    <m/>
    <m/>
  </r>
  <r>
    <s v="CT2017"/>
    <s v="State Policy Network_Maine Heritage Policy Center20095000"/>
    <x v="954"/>
    <x v="199"/>
    <x v="56"/>
    <n v="5000"/>
    <x v="11"/>
    <m/>
    <m/>
  </r>
  <r>
    <s v="CT2017"/>
    <s v="State Policy Network_Maine Heritage Policy Center200950000"/>
    <x v="954"/>
    <x v="199"/>
    <x v="56"/>
    <n v="50000"/>
    <x v="11"/>
    <m/>
    <m/>
  </r>
  <r>
    <s v="CT2017"/>
    <s v="State Policy Network_Maryland Public Policy Institute200930000"/>
    <x v="954"/>
    <x v="199"/>
    <x v="72"/>
    <n v="30000"/>
    <x v="11"/>
    <m/>
    <m/>
  </r>
  <r>
    <s v="CT2017"/>
    <s v="State Policy Network_Open Government Institute of California2009100000"/>
    <x v="954"/>
    <x v="199"/>
    <x v="107"/>
    <n v="100000"/>
    <x v="11"/>
    <m/>
    <m/>
  </r>
  <r>
    <s v="CT2017"/>
    <s v="State Policy Network_Open Government Institute of California200925000"/>
    <x v="954"/>
    <x v="199"/>
    <x v="107"/>
    <n v="25000"/>
    <x v="11"/>
    <m/>
    <m/>
  </r>
  <r>
    <s v="CT2017"/>
    <s v="State Policy Network_Rio Grande Foundation200930000"/>
    <x v="954"/>
    <x v="199"/>
    <x v="84"/>
    <n v="30000"/>
    <x v="11"/>
    <m/>
    <m/>
  </r>
  <r>
    <s v="CT2017"/>
    <s v="State Policy Network_South Carolina Policy Council200950000"/>
    <x v="954"/>
    <x v="199"/>
    <x v="40"/>
    <n v="50000"/>
    <x v="11"/>
    <m/>
    <s v="South Carolina Policy Council EIN 57-0835744"/>
  </r>
  <r>
    <s v="CT2017"/>
    <s v="State Policy Network_Texas Public Policy Foundation200930000"/>
    <x v="954"/>
    <x v="199"/>
    <x v="41"/>
    <n v="30000"/>
    <x v="11"/>
    <m/>
    <m/>
  </r>
  <r>
    <s v="CT2017"/>
    <s v="State Policy Network_Virginia Institute for Public Policy200930000"/>
    <x v="954"/>
    <x v="199"/>
    <x v="113"/>
    <n v="30000"/>
    <x v="11"/>
    <m/>
    <m/>
  </r>
  <r>
    <s v="CT2017"/>
    <s v="State Policy Network_Washington Policy Center20095000"/>
    <x v="954"/>
    <x v="199"/>
    <x v="70"/>
    <n v="5000"/>
    <x v="11"/>
    <m/>
    <m/>
  </r>
  <r>
    <s v="CT2017"/>
    <s v="State Policy Network_Wyoming Liberty Group200925000"/>
    <x v="954"/>
    <x v="199"/>
    <x v="114"/>
    <n v="25000"/>
    <x v="11"/>
    <m/>
    <m/>
  </r>
  <r>
    <s v="CT2017"/>
    <s v="State Policy Network_Wyoming Liberty Group200965000"/>
    <x v="954"/>
    <x v="199"/>
    <x v="114"/>
    <n v="65000"/>
    <x v="11"/>
    <m/>
    <m/>
  </r>
  <r>
    <s v="CT2017"/>
    <s v="State Policy Network_Beacon Hill Institute200829250"/>
    <x v="955"/>
    <x v="199"/>
    <x v="103"/>
    <n v="29250"/>
    <x v="12"/>
    <m/>
    <m/>
  </r>
  <r>
    <s v="CT2017"/>
    <s v="State Policy Network_Caesar Rodney Institute200840000"/>
    <x v="955"/>
    <x v="199"/>
    <x v="105"/>
    <n v="40000"/>
    <x v="12"/>
    <m/>
    <m/>
  </r>
  <r>
    <s v="CT2017"/>
    <s v="State Policy Network_Competitive Governance Institute (Formerly Sam Adams Alliance)2008180000"/>
    <x v="955"/>
    <x v="199"/>
    <x v="115"/>
    <n v="180000"/>
    <x v="12"/>
    <m/>
    <m/>
  </r>
  <r>
    <s v="CT2017"/>
    <s v="State Policy Network_DC Progress200881791"/>
    <x v="955"/>
    <x v="199"/>
    <x v="116"/>
    <n v="81791"/>
    <x v="12"/>
    <m/>
    <m/>
  </r>
  <r>
    <s v="CT2017"/>
    <s v="State Policy Network_Evergreen Freedom Foundation200836750"/>
    <x v="955"/>
    <x v="199"/>
    <x v="14"/>
    <n v="36750"/>
    <x v="12"/>
    <m/>
    <m/>
  </r>
  <r>
    <s v="CT2017"/>
    <s v="State Policy Network_Goldwater Institute for Public Policy200830000"/>
    <x v="955"/>
    <x v="199"/>
    <x v="17"/>
    <n v="30000"/>
    <x v="12"/>
    <m/>
    <m/>
  </r>
  <r>
    <s v="CT2017"/>
    <s v="State Policy Network_Idaho Freedom Foundation200815000"/>
    <x v="955"/>
    <x v="199"/>
    <x v="59"/>
    <n v="15000"/>
    <x v="12"/>
    <m/>
    <m/>
  </r>
  <r>
    <s v="CT2017"/>
    <s v="State Policy Network_James Madison Institute200825000"/>
    <x v="955"/>
    <x v="199"/>
    <x v="43"/>
    <n v="25000"/>
    <x v="12"/>
    <m/>
    <m/>
  </r>
  <r>
    <s v="CT2017"/>
    <s v="State Policy Network_John Locke Foundation200820000"/>
    <x v="955"/>
    <x v="199"/>
    <x v="26"/>
    <n v="20000"/>
    <x v="12"/>
    <m/>
    <m/>
  </r>
  <r>
    <s v="CT2017"/>
    <s v="State Policy Network_Mackinac Center for Public Policy200850000"/>
    <x v="955"/>
    <x v="199"/>
    <x v="30"/>
    <n v="50000"/>
    <x v="12"/>
    <m/>
    <m/>
  </r>
  <r>
    <s v="CT2017"/>
    <s v="State Policy Network_Maclver Institute200825000"/>
    <x v="955"/>
    <x v="199"/>
    <x v="83"/>
    <n v="25000"/>
    <x v="12"/>
    <m/>
    <m/>
  </r>
  <r>
    <s v="CT2017"/>
    <s v="State Policy Network_Maclver Institute200850000"/>
    <x v="955"/>
    <x v="199"/>
    <x v="83"/>
    <n v="50000"/>
    <x v="12"/>
    <m/>
    <m/>
  </r>
  <r>
    <s v="CT2017"/>
    <s v="State Policy Network_Maine Heritage Policy Center200830000"/>
    <x v="955"/>
    <x v="199"/>
    <x v="56"/>
    <n v="30000"/>
    <x v="12"/>
    <m/>
    <m/>
  </r>
  <r>
    <s v="CT2017"/>
    <s v="State Policy Network_Maryland Public Policy Institute200830000"/>
    <x v="955"/>
    <x v="199"/>
    <x v="72"/>
    <n v="30000"/>
    <x v="12"/>
    <m/>
    <m/>
  </r>
  <r>
    <s v="CT2017"/>
    <s v="State Policy Network_North Dakota Policy institute200885000"/>
    <x v="955"/>
    <x v="199"/>
    <x v="96"/>
    <n v="85000"/>
    <x v="12"/>
    <m/>
    <m/>
  </r>
  <r>
    <s v="CT2017"/>
    <s v="State Policy Network_Ocean State Policy Research2008121250"/>
    <x v="955"/>
    <x v="199"/>
    <x v="117"/>
    <n v="121250"/>
    <x v="12"/>
    <m/>
    <m/>
  </r>
  <r>
    <s v="CT2017"/>
    <s v="State Policy Network_Pelican Institute2008240000"/>
    <x v="955"/>
    <x v="199"/>
    <x v="108"/>
    <n v="240000"/>
    <x v="12"/>
    <m/>
    <m/>
  </r>
  <r>
    <s v="CT2017"/>
    <s v="State Policy Network_Rio Grande Foundation200835000"/>
    <x v="955"/>
    <x v="199"/>
    <x v="84"/>
    <n v="35000"/>
    <x v="12"/>
    <m/>
    <m/>
  </r>
  <r>
    <s v="CT2017"/>
    <s v="State Policy Network_Texas Public Policy Foundation200825000"/>
    <x v="955"/>
    <x v="199"/>
    <x v="41"/>
    <n v="25000"/>
    <x v="12"/>
    <m/>
    <m/>
  </r>
  <r>
    <s v="CT2017"/>
    <s v="State Policy Network_Texas Watchdog200882000"/>
    <x v="955"/>
    <x v="199"/>
    <x v="118"/>
    <n v="82000"/>
    <x v="12"/>
    <m/>
    <m/>
  </r>
  <r>
    <s v="CT2017"/>
    <s v="State Policy Network_Virginia Institute for Public Policy200828941"/>
    <x v="955"/>
    <x v="199"/>
    <x v="113"/>
    <n v="28941"/>
    <x v="12"/>
    <m/>
    <m/>
  </r>
  <r>
    <s v="CT2017"/>
    <s v="State Policy Network_1816 Institute20075846"/>
    <x v="956"/>
    <x v="199"/>
    <x v="119"/>
    <n v="5846"/>
    <x v="13"/>
    <m/>
    <m/>
  </r>
  <r>
    <s v="CT2017"/>
    <s v="State Policy Network_Atlas Economic Research Foundation200717894"/>
    <x v="956"/>
    <x v="199"/>
    <x v="120"/>
    <n v="17894"/>
    <x v="13"/>
    <m/>
    <m/>
  </r>
  <r>
    <s v="CT2017"/>
    <s v="State Policy Network_Beacon Hill Institute200728750"/>
    <x v="956"/>
    <x v="199"/>
    <x v="103"/>
    <n v="28750"/>
    <x v="13"/>
    <m/>
    <m/>
  </r>
  <r>
    <s v="CT2017"/>
    <s v="State Policy Network_Cascade Policy Institute200742322"/>
    <x v="956"/>
    <x v="199"/>
    <x v="7"/>
    <n v="42322"/>
    <x v="13"/>
    <m/>
    <m/>
  </r>
  <r>
    <s v="CT2017"/>
    <s v="State Policy Network_Commonwealth Foundation for Public Policy Alternatives200740000"/>
    <x v="956"/>
    <x v="199"/>
    <x v="10"/>
    <n v="40000"/>
    <x v="13"/>
    <m/>
    <m/>
  </r>
  <r>
    <s v="CT2017"/>
    <s v="State Policy Network_Competitive Governance Institute (Formerly Sam Adams Alliance)20071386"/>
    <x v="956"/>
    <x v="199"/>
    <x v="115"/>
    <n v="1386"/>
    <x v="13"/>
    <m/>
    <m/>
  </r>
  <r>
    <s v="CT2017"/>
    <s v="State Policy Network_Evergreen Freedom Foundation200715664"/>
    <x v="956"/>
    <x v="199"/>
    <x v="14"/>
    <n v="15664"/>
    <x v="13"/>
    <m/>
    <m/>
  </r>
  <r>
    <s v="CT2017"/>
    <s v="State Policy Network_Freedom Foundation of Minnesota200740000"/>
    <x v="956"/>
    <x v="199"/>
    <x v="89"/>
    <n v="40000"/>
    <x v="13"/>
    <m/>
    <m/>
  </r>
  <r>
    <s v="CT2017"/>
    <s v="State Policy Network_Georgia Family Council20071182"/>
    <x v="956"/>
    <x v="199"/>
    <x v="121"/>
    <n v="1182"/>
    <x v="13"/>
    <m/>
    <m/>
  </r>
  <r>
    <s v="CT2017"/>
    <s v="State Policy Network_Georgia Public Policy Foundation200735975"/>
    <x v="956"/>
    <x v="199"/>
    <x v="16"/>
    <n v="35975"/>
    <x v="13"/>
    <m/>
    <m/>
  </r>
  <r>
    <s v="CT2017"/>
    <s v="State Policy Network_Goldwater Institute for Public Policy20071549"/>
    <x v="956"/>
    <x v="199"/>
    <x v="17"/>
    <n v="1549"/>
    <x v="13"/>
    <m/>
    <m/>
  </r>
  <r>
    <s v="CT2017"/>
    <s v="State Policy Network_Independence Institute20077113"/>
    <x v="956"/>
    <x v="199"/>
    <x v="22"/>
    <n v="7113"/>
    <x v="13"/>
    <m/>
    <m/>
  </r>
  <r>
    <s v="CT2017"/>
    <s v="State Policy Network_James Madison Institute200740000"/>
    <x v="956"/>
    <x v="199"/>
    <x v="43"/>
    <n v="40000"/>
    <x v="13"/>
    <m/>
    <m/>
  </r>
  <r>
    <s v="CT2017"/>
    <s v="State Policy Network_James Madison Institute2007622"/>
    <x v="956"/>
    <x v="199"/>
    <x v="43"/>
    <n v="622"/>
    <x v="13"/>
    <m/>
    <m/>
  </r>
  <r>
    <s v="CT2017"/>
    <s v="State Policy Network_John Locke Foundation20075714"/>
    <x v="956"/>
    <x v="199"/>
    <x v="26"/>
    <n v="5714"/>
    <x v="13"/>
    <m/>
    <m/>
  </r>
  <r>
    <s v="CT2017"/>
    <s v="State Policy Network_Josiah Bartlett Center for Public Policy2007819"/>
    <x v="956"/>
    <x v="199"/>
    <x v="27"/>
    <n v="819"/>
    <x v="13"/>
    <m/>
    <m/>
  </r>
  <r>
    <s v="CT2017"/>
    <s v="State Policy Network_Louisiana Family Forum2007411"/>
    <x v="956"/>
    <x v="199"/>
    <x v="122"/>
    <n v="411"/>
    <x v="13"/>
    <m/>
    <m/>
  </r>
  <r>
    <s v="CT2017"/>
    <s v="State Policy Network_Maine Heritage Policy Center20075000"/>
    <x v="956"/>
    <x v="199"/>
    <x v="56"/>
    <n v="5000"/>
    <x v="13"/>
    <m/>
    <m/>
  </r>
  <r>
    <s v="CT2017"/>
    <s v="State Policy Network_Mississippi Center for Public Policy20076044"/>
    <x v="956"/>
    <x v="199"/>
    <x v="31"/>
    <n v="6044"/>
    <x v="13"/>
    <m/>
    <m/>
  </r>
  <r>
    <s v="CT2017"/>
    <s v="State Policy Network_North Dakota Policy institute200776197"/>
    <x v="956"/>
    <x v="199"/>
    <x v="96"/>
    <n v="76197"/>
    <x v="13"/>
    <m/>
    <m/>
  </r>
  <r>
    <s v="CT2017"/>
    <s v="State Policy Network_Ocean State Policy Research200750916"/>
    <x v="956"/>
    <x v="199"/>
    <x v="117"/>
    <n v="50916"/>
    <x v="13"/>
    <m/>
    <m/>
  </r>
  <r>
    <s v="CT2017"/>
    <s v="State Policy Network_Oklahoma Council of Public Affairs200740000"/>
    <x v="956"/>
    <x v="199"/>
    <x v="32"/>
    <n v="40000"/>
    <x v="13"/>
    <m/>
    <m/>
  </r>
  <r>
    <s v="CT2017"/>
    <s v="State Policy Network_Pelican Institute20075000"/>
    <x v="956"/>
    <x v="199"/>
    <x v="108"/>
    <n v="5000"/>
    <x v="13"/>
    <m/>
    <m/>
  </r>
  <r>
    <s v="CT2017"/>
    <s v="State Policy Network_Pioneer Institute2007718"/>
    <x v="956"/>
    <x v="199"/>
    <x v="37"/>
    <n v="718"/>
    <x v="13"/>
    <m/>
    <m/>
  </r>
  <r>
    <s v="CT2017"/>
    <s v="State Policy Network_Public Interest Institute200715000"/>
    <x v="956"/>
    <x v="199"/>
    <x v="123"/>
    <n v="15000"/>
    <x v="13"/>
    <m/>
    <m/>
  </r>
  <r>
    <s v="CT2017"/>
    <s v="State Policy Network_Public Policy Foundation of West Virginia200735000"/>
    <x v="956"/>
    <x v="199"/>
    <x v="124"/>
    <n v="35000"/>
    <x v="13"/>
    <m/>
    <m/>
  </r>
  <r>
    <s v="CT2017"/>
    <s v="State Policy Network_Show-Me Institute200787951"/>
    <x v="956"/>
    <x v="199"/>
    <x v="44"/>
    <n v="87951"/>
    <x v="13"/>
    <m/>
    <m/>
  </r>
  <r>
    <s v="CT2017"/>
    <s v="State Policy Network_South Carolina Policy Council20071139"/>
    <x v="956"/>
    <x v="199"/>
    <x v="40"/>
    <n v="1139"/>
    <x v="13"/>
    <m/>
    <s v="South Carolina Policy Council EIN 57-0835744"/>
  </r>
  <r>
    <s v="CT2017"/>
    <s v="State Policy Network_South Carolina Policy Council200740000"/>
    <x v="956"/>
    <x v="199"/>
    <x v="40"/>
    <n v="40000"/>
    <x v="13"/>
    <m/>
    <s v="South Carolina Policy Council EIN 57-0835744"/>
  </r>
  <r>
    <s v="CT2017"/>
    <s v="State Policy Network_Sutherland Institute20071324"/>
    <x v="956"/>
    <x v="199"/>
    <x v="68"/>
    <n v="1324"/>
    <x v="13"/>
    <m/>
    <m/>
  </r>
  <r>
    <s v="CT2017"/>
    <s v="State Policy Network_Tennessee Center for Policy Research200752589"/>
    <x v="956"/>
    <x v="199"/>
    <x v="125"/>
    <n v="52589"/>
    <x v="13"/>
    <m/>
    <m/>
  </r>
  <r>
    <s v="CT2017"/>
    <s v="State Policy Network_Texas Public Policy Foundation200780000"/>
    <x v="956"/>
    <x v="199"/>
    <x v="41"/>
    <n v="80000"/>
    <x v="13"/>
    <m/>
    <m/>
  </r>
  <r>
    <s v="CT2017"/>
    <s v="State Policy Network_Thomas Jefferson Institute200715000"/>
    <x v="956"/>
    <x v="199"/>
    <x v="45"/>
    <n v="15000"/>
    <x v="13"/>
    <m/>
    <m/>
  </r>
  <r>
    <s v="CT2017"/>
    <s v="State Policy Network_Washington Policy Center20077029"/>
    <x v="956"/>
    <x v="199"/>
    <x v="70"/>
    <n v="7029"/>
    <x v="13"/>
    <m/>
    <m/>
  </r>
  <r>
    <s v="CT2017"/>
    <s v="State Policy Network_Wisconsin Policy Research Institute200761055"/>
    <x v="956"/>
    <x v="199"/>
    <x v="126"/>
    <n v="61055"/>
    <x v="13"/>
    <m/>
    <m/>
  </r>
  <r>
    <s v="CT2017"/>
    <s v="State Policy Network_Alabama Policy Institute200626000"/>
    <x v="957"/>
    <x v="199"/>
    <x v="49"/>
    <n v="26000"/>
    <x v="14"/>
    <m/>
    <m/>
  </r>
  <r>
    <s v="CT2017"/>
    <s v="State Policy Network_Buckeye Institute for Public Policy Solutions200630000"/>
    <x v="957"/>
    <x v="199"/>
    <x v="42"/>
    <n v="30000"/>
    <x v="14"/>
    <m/>
    <m/>
  </r>
  <r>
    <s v="CT2017"/>
    <s v="State Policy Network_Independence Institute200630000"/>
    <x v="957"/>
    <x v="199"/>
    <x v="22"/>
    <n v="30000"/>
    <x v="14"/>
    <m/>
    <m/>
  </r>
  <r>
    <s v="CT2017"/>
    <s v="State Policy Network_James Madison Institute200630000"/>
    <x v="957"/>
    <x v="199"/>
    <x v="43"/>
    <n v="30000"/>
    <x v="14"/>
    <m/>
    <m/>
  </r>
  <r>
    <s v="CT2017"/>
    <s v="State Policy Network_Mackinac Center for Public Policy200625000"/>
    <x v="957"/>
    <x v="199"/>
    <x v="30"/>
    <n v="25000"/>
    <x v="14"/>
    <m/>
    <m/>
  </r>
  <r>
    <s v="CT2017"/>
    <s v="State Policy Network_Rio Grande Foundation200620000"/>
    <x v="957"/>
    <x v="199"/>
    <x v="84"/>
    <n v="20000"/>
    <x v="14"/>
    <m/>
    <m/>
  </r>
  <r>
    <s v="CT2017"/>
    <s v="State Policy Network_South Carolina Policy Council200630000"/>
    <x v="957"/>
    <x v="199"/>
    <x v="40"/>
    <n v="30000"/>
    <x v="14"/>
    <m/>
    <s v="South Carolina Policy Council EIN 57-0835744"/>
  </r>
  <r>
    <s v="CT2017"/>
    <s v="State Policy Network_Wisconsin Policy Research Institute200625000"/>
    <x v="957"/>
    <x v="199"/>
    <x v="126"/>
    <n v="25000"/>
    <x v="14"/>
    <m/>
    <m/>
  </r>
  <r>
    <s v="CT2017"/>
    <s v="State Policy Network_Buckeye Institute for Public Policy Solutions20055000"/>
    <x v="958"/>
    <x v="199"/>
    <x v="42"/>
    <n v="5000"/>
    <x v="15"/>
    <m/>
    <m/>
  </r>
  <r>
    <s v="CT2017"/>
    <s v="State Policy Network_Flint Hills Center For Public Policy20052500"/>
    <x v="958"/>
    <x v="199"/>
    <x v="127"/>
    <n v="2500"/>
    <x v="15"/>
    <m/>
    <m/>
  </r>
  <r>
    <s v="CT2017"/>
    <s v="State Policy Network_Georgia Public Policy Foundation20055000"/>
    <x v="958"/>
    <x v="199"/>
    <x v="16"/>
    <n v="5000"/>
    <x v="15"/>
    <m/>
    <m/>
  </r>
  <r>
    <s v="CT2017"/>
    <s v="State Policy Network_Goldwater Institute for Public Policy20052500"/>
    <x v="958"/>
    <x v="199"/>
    <x v="17"/>
    <n v="2500"/>
    <x v="15"/>
    <m/>
    <m/>
  </r>
  <r>
    <s v="CT2017"/>
    <s v="State Policy Network_Grassroots Institute of Hawaii20052500"/>
    <x v="958"/>
    <x v="199"/>
    <x v="18"/>
    <n v="2500"/>
    <x v="15"/>
    <m/>
    <m/>
  </r>
  <r>
    <s v="CT2017"/>
    <s v="State Policy Network_Illinois Policy Institute20057500"/>
    <x v="958"/>
    <x v="199"/>
    <x v="21"/>
    <n v="7500"/>
    <x v="15"/>
    <m/>
    <m/>
  </r>
  <r>
    <s v="CT2017"/>
    <s v="State Policy Network_Kansas Policy Institute200517500"/>
    <x v="958"/>
    <x v="199"/>
    <x v="28"/>
    <n v="17500"/>
    <x v="15"/>
    <m/>
    <m/>
  </r>
  <r>
    <s v="CT2017"/>
    <s v="State Policy Network_Mackinac Center for Public Policy20054500"/>
    <x v="958"/>
    <x v="199"/>
    <x v="30"/>
    <n v="4500"/>
    <x v="15"/>
    <m/>
    <m/>
  </r>
  <r>
    <s v="CT2017"/>
    <s v="State Policy Network_Maryland Public Policy Institute20057500"/>
    <x v="958"/>
    <x v="199"/>
    <x v="72"/>
    <n v="7500"/>
    <x v="15"/>
    <m/>
    <m/>
  </r>
  <r>
    <s v="CT2017"/>
    <s v="State Policy Network_Nevada Policy Research Institute20057500"/>
    <x v="958"/>
    <x v="199"/>
    <x v="66"/>
    <n v="7500"/>
    <x v="15"/>
    <m/>
    <m/>
  </r>
  <r>
    <s v="CT2017"/>
    <s v="State Policy Network_Pacific Research institute200550000"/>
    <x v="958"/>
    <x v="199"/>
    <x v="78"/>
    <n v="50000"/>
    <x v="15"/>
    <m/>
    <m/>
  </r>
  <r>
    <s v="CT2017"/>
    <s v="State Policy Network_South Carolina Policy Council20057500"/>
    <x v="958"/>
    <x v="199"/>
    <x v="40"/>
    <n v="7500"/>
    <x v="15"/>
    <m/>
    <s v="South Carolina Policy Council EIN 57-0835744"/>
  </r>
  <r>
    <s v="CT2017"/>
    <s v="State Policy Network_Texas Public Policy Foundation20053000"/>
    <x v="958"/>
    <x v="199"/>
    <x v="41"/>
    <n v="3000"/>
    <x v="15"/>
    <m/>
    <m/>
  </r>
  <r>
    <s v="CT2017"/>
    <s v="State Policy Network_Cascade Policy Institute200212500"/>
    <x v="959"/>
    <x v="199"/>
    <x v="7"/>
    <n v="12500"/>
    <x v="22"/>
    <m/>
    <m/>
  </r>
  <r>
    <s v="CT2017"/>
    <s v="State Policy Network_Commonwealth Foundation for Public Policy Alternatives20027500"/>
    <x v="959"/>
    <x v="199"/>
    <x v="10"/>
    <n v="7500"/>
    <x v="22"/>
    <m/>
    <m/>
  </r>
  <r>
    <s v="CT2017"/>
    <s v="State Policy Network_Evergreen Freedom Foundation20025000"/>
    <x v="959"/>
    <x v="199"/>
    <x v="14"/>
    <n v="5000"/>
    <x v="22"/>
    <m/>
    <m/>
  </r>
  <r>
    <s v="CT2017"/>
    <s v="State Policy Network_Great Plains Public Policy Institute20022500"/>
    <x v="959"/>
    <x v="199"/>
    <x v="128"/>
    <n v="2500"/>
    <x v="22"/>
    <m/>
    <m/>
  </r>
  <r>
    <s v="CT2017"/>
    <s v="State Policy Network_Independence Institute20025000"/>
    <x v="959"/>
    <x v="199"/>
    <x v="22"/>
    <n v="5000"/>
    <x v="22"/>
    <m/>
    <m/>
  </r>
  <r>
    <s v="CT2017"/>
    <s v="State Policy Network_Independence Institute20027500"/>
    <x v="959"/>
    <x v="199"/>
    <x v="22"/>
    <n v="7500"/>
    <x v="22"/>
    <m/>
    <m/>
  </r>
  <r>
    <s v="CT2017"/>
    <s v="State Policy Network_James Madison Institute20022500"/>
    <x v="959"/>
    <x v="199"/>
    <x v="43"/>
    <n v="2500"/>
    <x v="22"/>
    <m/>
    <m/>
  </r>
  <r>
    <s v="CT2017"/>
    <s v="State Policy Network_Maryland Public Policy Institute20025000"/>
    <x v="959"/>
    <x v="199"/>
    <x v="72"/>
    <n v="5000"/>
    <x v="22"/>
    <m/>
    <m/>
  </r>
  <r>
    <s v="CT2017"/>
    <s v="State Policy Network_Public Interest Institute20026250"/>
    <x v="959"/>
    <x v="199"/>
    <x v="123"/>
    <n v="6250"/>
    <x v="22"/>
    <m/>
    <m/>
  </r>
  <r>
    <s v="CT2017"/>
    <s v="State Policy Network_Rio Grande Foundation20025000"/>
    <x v="959"/>
    <x v="199"/>
    <x v="84"/>
    <n v="5000"/>
    <x v="22"/>
    <m/>
    <m/>
  </r>
  <r>
    <s v="CT2017"/>
    <s v="State Policy Network_Rio Grande Foundation20027000"/>
    <x v="959"/>
    <x v="199"/>
    <x v="84"/>
    <n v="7000"/>
    <x v="22"/>
    <m/>
    <m/>
  </r>
  <r>
    <s v="CT2017"/>
    <s v="State Policy Network_South Carolina Policy Council20025000"/>
    <x v="959"/>
    <x v="199"/>
    <x v="40"/>
    <n v="5000"/>
    <x v="22"/>
    <m/>
    <s v="South Carolina Policy Council EIN 57-0835744"/>
  </r>
  <r>
    <s v="CT2017"/>
    <s v="State Policy Network_Thomas Jefferson Institute20027200"/>
    <x v="959"/>
    <x v="199"/>
    <x v="45"/>
    <n v="7200"/>
    <x v="22"/>
    <m/>
    <m/>
  </r>
  <r>
    <s v="CT2017"/>
    <s v="State Policy Network_Washington Policy Center200218500"/>
    <x v="959"/>
    <x v="199"/>
    <x v="70"/>
    <n v="18500"/>
    <x v="22"/>
    <m/>
    <m/>
  </r>
  <r>
    <s v="CT2017"/>
    <s v="State Policy Network_Wisconsin Policy Research Institute20027500"/>
    <x v="959"/>
    <x v="199"/>
    <x v="126"/>
    <n v="7500"/>
    <x v="22"/>
    <m/>
    <m/>
  </r>
  <r>
    <s v="https://projects.propublica.org/nonprofits/organizations/363461484/201621349349101267/IRS990PF"/>
    <s v="Stone Barrett Foundation_State Policy Network20151000"/>
    <x v="960"/>
    <x v="200"/>
    <x v="0"/>
    <n v="1000"/>
    <x v="5"/>
    <s v="added"/>
    <m/>
  </r>
  <r>
    <s v="https://projects.propublica.org/nonprofits/organizations/363461484/201521339349102522/IRS990PF"/>
    <s v="Stone Barrett Foundation_State Policy Network2014500"/>
    <x v="961"/>
    <x v="200"/>
    <x v="0"/>
    <n v="500"/>
    <x v="6"/>
    <s v="added"/>
    <m/>
  </r>
  <r>
    <s v="https://projects.propublica.org/nonprofits/display_990/363461484/2014_05_PF%2F36-3461484_990PF_201312"/>
    <s v="Stone Barrett Foundation_State Policy Network2013250"/>
    <x v="962"/>
    <x v="200"/>
    <x v="0"/>
    <n v="250"/>
    <x v="7"/>
    <s v="added"/>
    <m/>
  </r>
  <r>
    <s v="https://projects.propublica.org/nonprofits/display_990/363461484/2013_05_PF%2F36-3461484_990PF_201212"/>
    <s v="Stone Barrett Foundation_State Policy Network2012100"/>
    <x v="963"/>
    <x v="200"/>
    <x v="0"/>
    <n v="100"/>
    <x v="8"/>
    <s v="added"/>
    <m/>
  </r>
  <r>
    <s v="https://projects.propublica.org/nonprofits/display_990/363461484/2012_05_PF%2F36-3461484_990PF_201112"/>
    <s v="Stone Barrett Foundation_State Policy Network2011100"/>
    <x v="964"/>
    <x v="200"/>
    <x v="0"/>
    <n v="100"/>
    <x v="9"/>
    <s v="added"/>
    <m/>
  </r>
  <r>
    <s v="https://projects.propublica.org/nonprofits/display_990/363461484/2011_05_PF%2F36-3461484_990PF_201012"/>
    <s v="Stone Barrett Foundation_State Policy Network2010100"/>
    <x v="965"/>
    <x v="200"/>
    <x v="0"/>
    <n v="100"/>
    <x v="10"/>
    <s v="added"/>
    <m/>
  </r>
  <r>
    <s v="https://projects.propublica.org/nonprofits/organizations/526039178/202300599349100300/IRS990PF"/>
    <s v="Strauss Foundation Incorporated_State Policy Network2022250"/>
    <x v="966"/>
    <x v="201"/>
    <x v="0"/>
    <n v="250"/>
    <x v="0"/>
    <s v="added"/>
    <m/>
  </r>
  <r>
    <n v="990"/>
    <s v="Sunmark Foundation_State Policy Network200610000"/>
    <x v="967"/>
    <x v="202"/>
    <x v="0"/>
    <n v="10000"/>
    <x v="14"/>
    <s v="added"/>
    <m/>
  </r>
  <r>
    <n v="990"/>
    <s v="Sunmark Foundation_State Policy Network20047500"/>
    <x v="968"/>
    <x v="202"/>
    <x v="0"/>
    <n v="7500"/>
    <x v="16"/>
    <s v="added"/>
    <m/>
  </r>
  <r>
    <s v="https://projects.propublica.org/nonprofits/organizations/232732477/201812049349100406/IRS990PF"/>
    <s v="Susquehanna Foundation_State Policy Network20171000"/>
    <x v="969"/>
    <x v="203"/>
    <x v="0"/>
    <n v="1000"/>
    <x v="3"/>
    <s v="added"/>
    <m/>
  </r>
  <r>
    <s v="https://projects.propublica.org/nonprofits/organizations/656238164/202301259349100915/IRS990PF"/>
    <s v="Sutton Family Foundation_State Policy Network20223000"/>
    <x v="970"/>
    <x v="204"/>
    <x v="0"/>
    <n v="3000"/>
    <x v="0"/>
    <s v="added"/>
    <m/>
  </r>
  <r>
    <s v="https://projects.propublica.org/nonprofits/organizations/656238164/202241249349101974/IRS990PF"/>
    <s v="Sutton Family Foundation_State Policy Network20213000"/>
    <x v="971"/>
    <x v="204"/>
    <x v="0"/>
    <n v="3000"/>
    <x v="18"/>
    <s v="added"/>
    <m/>
  </r>
  <r>
    <s v="https://projects.propublica.org/nonprofits/organizations/656238164/202101319349103070/IRS990PF"/>
    <s v="Sutton Family Foundation_State Policy Network20203000"/>
    <x v="972"/>
    <x v="204"/>
    <x v="0"/>
    <n v="3000"/>
    <x v="19"/>
    <s v="added"/>
    <m/>
  </r>
  <r>
    <s v="https://projects.propublica.org/nonprofits/display_990/656238164/download990pdf_01_2022_prefixes_58-75%2F656238164_201912_990PF_2022012619549005"/>
    <s v="Sutton Family Foundation_State Policy Network20192000"/>
    <x v="973"/>
    <x v="204"/>
    <x v="0"/>
    <n v="2000"/>
    <x v="1"/>
    <s v="added"/>
    <m/>
  </r>
  <r>
    <n v="990"/>
    <s v="Tepper Family Foundation_State Policy Network20213000"/>
    <x v="974"/>
    <x v="205"/>
    <x v="0"/>
    <n v="3000"/>
    <x v="18"/>
    <s v="added"/>
    <m/>
  </r>
  <r>
    <n v="990"/>
    <s v="Tepper Family Foundation_State Policy Network20202000"/>
    <x v="975"/>
    <x v="205"/>
    <x v="0"/>
    <n v="2000"/>
    <x v="19"/>
    <s v="added"/>
    <m/>
  </r>
  <r>
    <n v="990"/>
    <s v="Tepper Family Foundation_State Policy Network20172000"/>
    <x v="976"/>
    <x v="205"/>
    <x v="0"/>
    <n v="2000"/>
    <x v="3"/>
    <s v="added"/>
    <m/>
  </r>
  <r>
    <s v="CT2017"/>
    <s v="Tepper Family Foundation_State Policy Network20121000"/>
    <x v="977"/>
    <x v="205"/>
    <x v="0"/>
    <n v="1000"/>
    <x v="8"/>
    <s v="verified"/>
    <m/>
  </r>
  <r>
    <s v="CT2017"/>
    <s v="Tepper Family Foundation_State Policy Network20111000"/>
    <x v="978"/>
    <x v="205"/>
    <x v="0"/>
    <n v="1000"/>
    <x v="9"/>
    <s v="verified"/>
    <m/>
  </r>
  <r>
    <s v="CT2017"/>
    <s v="Tepper Family Foundation_State Policy Network20101000"/>
    <x v="979"/>
    <x v="205"/>
    <x v="0"/>
    <n v="1000"/>
    <x v="10"/>
    <s v="verified"/>
    <m/>
  </r>
  <r>
    <s v="CT2017"/>
    <s v="Tepper Family Foundation_State Policy Network20092000"/>
    <x v="980"/>
    <x v="205"/>
    <x v="0"/>
    <n v="2000"/>
    <x v="11"/>
    <s v="verified"/>
    <m/>
  </r>
  <r>
    <s v="CT2017"/>
    <s v="Tepper Family Foundation_State Policy Network20081000"/>
    <x v="981"/>
    <x v="205"/>
    <x v="0"/>
    <n v="1000"/>
    <x v="12"/>
    <s v="verified"/>
    <m/>
  </r>
  <r>
    <s v="CT2017"/>
    <s v="Thirteen Foundation_State Policy Network20121526125"/>
    <x v="982"/>
    <x v="206"/>
    <x v="0"/>
    <n v="1526125"/>
    <x v="8"/>
    <m/>
    <m/>
  </r>
  <r>
    <s v="CT2017"/>
    <s v="Thomas B Fordham Foundation_State Policy Network20101000"/>
    <x v="983"/>
    <x v="207"/>
    <x v="0"/>
    <n v="1000"/>
    <x v="10"/>
    <m/>
    <m/>
  </r>
  <r>
    <n v="990"/>
    <s v="Thomas W Smith Foundation_State Policy Network2021300000"/>
    <x v="984"/>
    <x v="208"/>
    <x v="0"/>
    <n v="300000"/>
    <x v="18"/>
    <s v="added"/>
    <m/>
  </r>
  <r>
    <n v="990"/>
    <s v="Thomas W Smith Foundation_State Policy Network2020300000"/>
    <x v="985"/>
    <x v="208"/>
    <x v="0"/>
    <n v="300000"/>
    <x v="19"/>
    <s v="added"/>
    <m/>
  </r>
  <r>
    <n v="990"/>
    <s v="Thomas W Smith Foundation_State Policy Network2019350000"/>
    <x v="986"/>
    <x v="208"/>
    <x v="0"/>
    <n v="350000"/>
    <x v="1"/>
    <s v="added"/>
    <m/>
  </r>
  <r>
    <n v="990"/>
    <s v="Thomas W Smith Foundation_State Policy Network2018250000"/>
    <x v="987"/>
    <x v="208"/>
    <x v="0"/>
    <n v="250000"/>
    <x v="2"/>
    <s v="added"/>
    <m/>
  </r>
  <r>
    <n v="990"/>
    <s v="Thomas W Smith Foundation_State Policy Network2017100000"/>
    <x v="988"/>
    <x v="208"/>
    <x v="0"/>
    <n v="100000"/>
    <x v="3"/>
    <s v="added"/>
    <m/>
  </r>
  <r>
    <n v="990"/>
    <s v="Thomas W Smith Foundation_State Policy Network2017268600"/>
    <x v="988"/>
    <x v="208"/>
    <x v="0"/>
    <n v="268600"/>
    <x v="3"/>
    <s v="added"/>
    <m/>
  </r>
  <r>
    <n v="990"/>
    <s v="Thomas W Smith Foundation_State Policy Network201675000"/>
    <x v="989"/>
    <x v="208"/>
    <x v="0"/>
    <n v="75000"/>
    <x v="4"/>
    <s v="added"/>
    <m/>
  </r>
  <r>
    <s v="https://projects.propublica.org/nonprofits/organizations/341903674/202341359349104779/IRS990PF"/>
    <s v="TKBW Private Foundation_State Policy Network20225000"/>
    <x v="990"/>
    <x v="209"/>
    <x v="0"/>
    <n v="5000"/>
    <x v="0"/>
    <s v="added"/>
    <m/>
  </r>
  <r>
    <s v="https://projects.propublica.org/nonprofits/organizations/341903674/202203069349100205/IRS990PF"/>
    <s v="TKBW Private Foundation_State Policy Network20215000"/>
    <x v="991"/>
    <x v="209"/>
    <x v="0"/>
    <n v="5000"/>
    <x v="18"/>
    <s v="added"/>
    <m/>
  </r>
  <r>
    <s v="https://projects.propublica.org/nonprofits/organizations/341903674/202142589349100204/IRS990PF"/>
    <s v="TKBW Private Foundation_State Policy Network20204000"/>
    <x v="992"/>
    <x v="209"/>
    <x v="0"/>
    <n v="4000"/>
    <x v="19"/>
    <s v="added"/>
    <m/>
  </r>
  <r>
    <s v="https://projects.propublica.org/nonprofits/display_990/341903674/12_2020_prefixes_26-35%2F341903674_201912_990PF_2020120117459805"/>
    <s v="TKBW Private Foundation_State Policy Network20194000"/>
    <x v="993"/>
    <x v="209"/>
    <x v="0"/>
    <n v="4000"/>
    <x v="1"/>
    <s v="added"/>
    <m/>
  </r>
  <r>
    <s v="https://projects.propublica.org/nonprofits/display_990/341903674/06_2019_prefixes_31-35%2F341903674_201812_990PF_2019061116401990"/>
    <s v="TKBW Private Foundation_State Policy Network20185000"/>
    <x v="994"/>
    <x v="209"/>
    <x v="0"/>
    <n v="5000"/>
    <x v="2"/>
    <s v="added"/>
    <m/>
  </r>
  <r>
    <s v="https://projects.propublica.org/nonprofits/display_990/341903674/2017_05_PF%2F34-1903674_990PF_201612"/>
    <s v="TKBW Private Foundation_State Policy Network20165000"/>
    <x v="995"/>
    <x v="209"/>
    <x v="0"/>
    <n v="5000"/>
    <x v="4"/>
    <s v="added"/>
    <m/>
  </r>
  <r>
    <s v="https://projects.propublica.org/nonprofits/display_990/341903674/2016_05_PF%2F34-1903674_990PF_201512"/>
    <s v="TKBW Private Foundation_State Policy Network20155000"/>
    <x v="996"/>
    <x v="209"/>
    <x v="0"/>
    <n v="5000"/>
    <x v="5"/>
    <s v="added"/>
    <m/>
  </r>
  <r>
    <s v="https://projects.propublica.org/nonprofits/display_990/341903674/2015_05_PF%2F34-1903674_990PF_201412"/>
    <s v="TKBW Private Foundation_State Policy Network20145000"/>
    <x v="997"/>
    <x v="209"/>
    <x v="0"/>
    <n v="5000"/>
    <x v="6"/>
    <s v="added"/>
    <m/>
  </r>
  <r>
    <s v="https://projects.propublica.org/nonprofits/display_990/341903674/2014_06_PF%2F34-1903674_990PF_201312"/>
    <s v="TKBW Private Foundation_State Policy Network201310000"/>
    <x v="998"/>
    <x v="209"/>
    <x v="0"/>
    <n v="10000"/>
    <x v="7"/>
    <s v="added"/>
    <m/>
  </r>
  <r>
    <s v="https://projects.propublica.org/nonprofits/display_990/341903674/2013_05_PF%2F34-1903674_990PF_201212"/>
    <s v="TKBW Private Foundation_State Policy Network20125000"/>
    <x v="999"/>
    <x v="209"/>
    <x v="0"/>
    <n v="5000"/>
    <x v="8"/>
    <s v="added"/>
    <m/>
  </r>
  <r>
    <s v="https://projects.propublica.org/nonprofits/display_990/341903674/2012_05_PF%2F34-1903674_990PF_201112"/>
    <s v="TKBW Private Foundation_State Policy Network20115000"/>
    <x v="1000"/>
    <x v="209"/>
    <x v="0"/>
    <n v="5000"/>
    <x v="9"/>
    <s v="added"/>
    <m/>
  </r>
  <r>
    <n v="990"/>
    <s v="TWS Foundation_State Policy Network201550000"/>
    <x v="1001"/>
    <x v="210"/>
    <x v="0"/>
    <n v="50000"/>
    <x v="5"/>
    <s v="added"/>
    <m/>
  </r>
  <r>
    <n v="990"/>
    <s v="TWS Foundation_State Policy Network201450000"/>
    <x v="1002"/>
    <x v="210"/>
    <x v="0"/>
    <n v="50000"/>
    <x v="6"/>
    <s v="added"/>
    <m/>
  </r>
  <r>
    <s v="https://projects.propublica.org/nonprofits/organizations/232888152/202331359349303108/IRS990ScheduleI"/>
    <s v="Vanguard Charitable Endowment Program_State Policy Network2022150500"/>
    <x v="1003"/>
    <x v="211"/>
    <x v="0"/>
    <n v="150500"/>
    <x v="0"/>
    <s v="added"/>
    <m/>
  </r>
  <r>
    <s v="https://projects.propublica.org/nonprofits/organizations/232888152/202211339349310116/IRS990ScheduleI"/>
    <s v="Vanguard Charitable Endowment Program_State Policy Network2021150500"/>
    <x v="1004"/>
    <x v="211"/>
    <x v="0"/>
    <n v="150500"/>
    <x v="18"/>
    <s v="added"/>
    <m/>
  </r>
  <r>
    <n v="990"/>
    <s v="Vernon K Krieble Foundation_State Policy Network201758000"/>
    <x v="1005"/>
    <x v="212"/>
    <x v="0"/>
    <n v="58000"/>
    <x v="3"/>
    <s v="added"/>
    <m/>
  </r>
  <r>
    <n v="990"/>
    <s v="Vernon K Krieble Foundation_State Policy Network201553643"/>
    <x v="1006"/>
    <x v="212"/>
    <x v="0"/>
    <n v="53643"/>
    <x v="5"/>
    <s v="added"/>
    <m/>
  </r>
  <r>
    <n v="990"/>
    <s v="Vernon K Krieble Foundation_State Policy Network201420000"/>
    <x v="1007"/>
    <x v="212"/>
    <x v="0"/>
    <n v="20000"/>
    <x v="6"/>
    <s v="added"/>
    <m/>
  </r>
  <r>
    <n v="990"/>
    <s v="Vernon K Krieble Foundation_State Policy Network201345000"/>
    <x v="1008"/>
    <x v="212"/>
    <x v="0"/>
    <n v="45000"/>
    <x v="7"/>
    <s v="added"/>
    <m/>
  </r>
  <r>
    <s v="CT2017"/>
    <s v="Vernon K Krieble Foundation_State Policy Network201236305"/>
    <x v="1009"/>
    <x v="212"/>
    <x v="0"/>
    <n v="36305"/>
    <x v="8"/>
    <m/>
    <m/>
  </r>
  <r>
    <s v="CT2017"/>
    <s v="Vernon K Krieble Foundation_State Policy Network201135000"/>
    <x v="1010"/>
    <x v="212"/>
    <x v="0"/>
    <n v="35000"/>
    <x v="9"/>
    <m/>
    <m/>
  </r>
  <r>
    <s v="CT2017"/>
    <s v="Vernon K Krieble Foundation_State Policy Network20101000"/>
    <x v="1011"/>
    <x v="212"/>
    <x v="0"/>
    <n v="1000"/>
    <x v="10"/>
    <m/>
    <m/>
  </r>
  <r>
    <s v="CT2017"/>
    <s v="Vernon K Krieble Foundation_State Policy Network20082500"/>
    <x v="1012"/>
    <x v="212"/>
    <x v="0"/>
    <n v="2500"/>
    <x v="12"/>
    <m/>
    <m/>
  </r>
  <r>
    <s v="CT2017"/>
    <s v="Vernon K Krieble Foundation_State Policy Network20065000"/>
    <x v="1013"/>
    <x v="212"/>
    <x v="0"/>
    <n v="5000"/>
    <x v="14"/>
    <m/>
    <m/>
  </r>
  <r>
    <s v="CT2017"/>
    <s v="Vernon K Krieble Foundation_State Policy Network200512500"/>
    <x v="1014"/>
    <x v="212"/>
    <x v="0"/>
    <n v="12500"/>
    <x v="15"/>
    <m/>
    <m/>
  </r>
  <r>
    <s v="CT2017"/>
    <s v="Vernon K Krieble Foundation_State Policy Network20042500"/>
    <x v="1015"/>
    <x v="212"/>
    <x v="0"/>
    <n v="2500"/>
    <x v="16"/>
    <m/>
    <m/>
  </r>
  <r>
    <s v="CT2017"/>
    <s v="Vernon K Krieble Foundation_State Policy Network20032000"/>
    <x v="1016"/>
    <x v="212"/>
    <x v="0"/>
    <n v="2000"/>
    <x v="17"/>
    <m/>
    <m/>
  </r>
  <r>
    <s v="CT2017"/>
    <s v="Vernon K Krieble Foundation_State Policy Network20021000"/>
    <x v="1017"/>
    <x v="212"/>
    <x v="0"/>
    <n v="1000"/>
    <x v="22"/>
    <m/>
    <m/>
  </r>
  <r>
    <s v="CT2017"/>
    <s v="Vernon K Krieble Foundation_State Policy Network20011000"/>
    <x v="1018"/>
    <x v="212"/>
    <x v="0"/>
    <n v="1000"/>
    <x v="20"/>
    <m/>
    <m/>
  </r>
  <r>
    <n v="990"/>
    <s v="Vernon K Krieble Foundation_State Policy Network20001000"/>
    <x v="1019"/>
    <x v="212"/>
    <x v="0"/>
    <n v="1000"/>
    <x v="21"/>
    <s v="added"/>
    <m/>
  </r>
  <r>
    <s v="https://projects.propublica.org/nonprofits/organizations/562069802/202311359349101866/IRS990PF"/>
    <s v="W Russell and Patricia Davis Duke Foundation_State Policy Network2022250"/>
    <x v="1020"/>
    <x v="213"/>
    <x v="0"/>
    <n v="250"/>
    <x v="0"/>
    <s v="added"/>
    <m/>
  </r>
  <r>
    <s v="https://projects.propublica.org/nonprofits/organizations/562069802/202221819349100702/IRS990PF"/>
    <s v="W Russell and Patricia Davis Duke Foundation_State Policy Network20211250"/>
    <x v="1021"/>
    <x v="213"/>
    <x v="0"/>
    <n v="1250"/>
    <x v="18"/>
    <s v="added"/>
    <m/>
  </r>
  <r>
    <s v="https://projects.propublica.org/nonprofits/organizations/133441466/202223199349107147/IRS990PF"/>
    <s v="Walton Family Foundation_State Policy Network20211200000"/>
    <x v="1022"/>
    <x v="214"/>
    <x v="0"/>
    <n v="1200000"/>
    <x v="18"/>
    <s v="added"/>
    <m/>
  </r>
  <r>
    <n v="990"/>
    <s v="Walton Family Foundation_State Policy Network20201100000"/>
    <x v="1023"/>
    <x v="214"/>
    <x v="0"/>
    <n v="1100000"/>
    <x v="19"/>
    <s v="added"/>
    <m/>
  </r>
  <r>
    <s v="https://projects.propublica.org/nonprofits/display_990/133441466/download990pdf_01_2022_prefixes_01-20%2F133441466_201912_990PF_2022012819581565"/>
    <s v="Walton Family Foundation_State Policy Network20191100000"/>
    <x v="1024"/>
    <x v="214"/>
    <x v="0"/>
    <n v="1100000"/>
    <x v="1"/>
    <s v="added"/>
    <m/>
  </r>
  <r>
    <s v="https://projects.propublica.org/nonprofits/display_990/133441466/01_2020_prefixes_13-14%2F133441466_201812_990PF_2020012717072988"/>
    <s v="Walton Family Foundation_State Policy Network2018345065"/>
    <x v="1025"/>
    <x v="214"/>
    <x v="0"/>
    <n v="345065"/>
    <x v="2"/>
    <s v="added"/>
    <m/>
  </r>
  <r>
    <s v="https://projects.propublica.org/nonprofits/display_990/133441466/02_2019_prefixes_11-13%2F133441466_201712_990PF_2019020716072715"/>
    <s v="Walton Family Foundation_State Policy Network2017119935"/>
    <x v="1026"/>
    <x v="214"/>
    <x v="0"/>
    <n v="119935"/>
    <x v="3"/>
    <s v="added"/>
    <m/>
  </r>
  <r>
    <s v="https://projects.propublica.org/nonprofits/display_990/133441466/IRS%2F133441466_201612_990PF_2017112714978048"/>
    <s v="Walton Family Foundation_State Policy Network201625000"/>
    <x v="1027"/>
    <x v="214"/>
    <x v="0"/>
    <n v="25000"/>
    <x v="4"/>
    <s v="added"/>
    <m/>
  </r>
  <r>
    <s v="https://projects.propublica.org/nonprofits/display_990/133441466/2015_11_PF%2F13-3441466_990PF_201412"/>
    <s v="Walton Family Foundation_State Policy Network2014135000"/>
    <x v="1028"/>
    <x v="214"/>
    <x v="0"/>
    <n v="135000"/>
    <x v="6"/>
    <s v="added"/>
    <m/>
  </r>
  <r>
    <s v="https://projects.propublica.org/nonprofits/organizations/811549862/202301309349103105/IRS990PF"/>
    <s v="Warren B Galkin Foundation_State Policy Network20222000"/>
    <x v="1029"/>
    <x v="215"/>
    <x v="0"/>
    <n v="2000"/>
    <x v="0"/>
    <s v="added"/>
    <m/>
  </r>
  <r>
    <s v="https://projects.propublica.org/nonprofits/organizations/811549862/202221329349101972/IRS990PF"/>
    <s v="Warren B Galkin Foundation_State Policy Network20214000"/>
    <x v="1030"/>
    <x v="215"/>
    <x v="0"/>
    <n v="4000"/>
    <x v="18"/>
    <s v="added"/>
    <m/>
  </r>
  <r>
    <s v="https://projects.propublica.org/nonprofits/organizations/811549862/202031979349101433/IRS990PF"/>
    <s v="Warren B Galkin Foundation_State Policy Network20192000"/>
    <x v="1031"/>
    <x v="215"/>
    <x v="0"/>
    <n v="2000"/>
    <x v="1"/>
    <s v="added"/>
    <m/>
  </r>
  <r>
    <s v="https://projects.propublica.org/nonprofits/organizations/811549862/201903129349100510/IRS990PF"/>
    <s v="Warren B Galkin Foundation_State Policy Network20182000"/>
    <x v="1032"/>
    <x v="215"/>
    <x v="0"/>
    <n v="2000"/>
    <x v="2"/>
    <s v="added"/>
    <m/>
  </r>
  <r>
    <s v="https://projects.propublica.org/nonprofits/organizations/956135603/201541599349100404/IRS990PF"/>
    <s v="William E Chelew Foundation_State Policy Network2014300"/>
    <x v="1033"/>
    <x v="216"/>
    <x v="0"/>
    <n v="300"/>
    <x v="6"/>
    <s v="added"/>
    <m/>
  </r>
  <r>
    <n v="990"/>
    <s v="William H Donner Foundation_State Policy Network202020000"/>
    <x v="1034"/>
    <x v="217"/>
    <x v="0"/>
    <n v="20000"/>
    <x v="19"/>
    <s v="added"/>
    <m/>
  </r>
  <r>
    <n v="990"/>
    <s v="William H Donner Foundation_State Policy Network202010000"/>
    <x v="1034"/>
    <x v="217"/>
    <x v="0"/>
    <n v="10000"/>
    <x v="19"/>
    <s v="added"/>
    <m/>
  </r>
  <r>
    <n v="990"/>
    <s v="William H Donner Foundation_State Policy Network201930000"/>
    <x v="1035"/>
    <x v="217"/>
    <x v="0"/>
    <n v="30000"/>
    <x v="1"/>
    <s v="added"/>
    <m/>
  </r>
  <r>
    <n v="990"/>
    <s v="William H Donner Foundation_State Policy Network201718000"/>
    <x v="1036"/>
    <x v="217"/>
    <x v="0"/>
    <n v="18000"/>
    <x v="3"/>
    <s v="added"/>
    <m/>
  </r>
  <r>
    <n v="990"/>
    <s v="William H Donner Foundation_State Policy Network201640000"/>
    <x v="1037"/>
    <x v="217"/>
    <x v="0"/>
    <n v="40000"/>
    <x v="4"/>
    <s v="added"/>
    <m/>
  </r>
  <r>
    <n v="990"/>
    <s v="William H Donner Foundation_State Policy Network201520000"/>
    <x v="1038"/>
    <x v="217"/>
    <x v="0"/>
    <n v="20000"/>
    <x v="5"/>
    <s v="added"/>
    <m/>
  </r>
  <r>
    <n v="990"/>
    <s v="William H Donner Foundation_State Policy Network20148429"/>
    <x v="1039"/>
    <x v="217"/>
    <x v="0"/>
    <n v="8429"/>
    <x v="6"/>
    <s v="added"/>
    <m/>
  </r>
  <r>
    <s v="CT2016"/>
    <s v="William H Donner Foundation_State Policy Network20117500"/>
    <x v="1040"/>
    <x v="217"/>
    <x v="0"/>
    <n v="7500"/>
    <x v="9"/>
    <s v="verified"/>
    <m/>
  </r>
  <r>
    <s v="CT2016"/>
    <s v="William H Donner Foundation_State Policy Network200810000"/>
    <x v="1041"/>
    <x v="217"/>
    <x v="0"/>
    <n v="10000"/>
    <x v="12"/>
    <s v="modified"/>
    <s v="10K not 25K"/>
  </r>
  <r>
    <s v="CT2016"/>
    <s v="William H Donner Foundation_State Policy Network200715000"/>
    <x v="1042"/>
    <x v="217"/>
    <x v="0"/>
    <n v="15000"/>
    <x v="13"/>
    <s v="verified"/>
    <m/>
  </r>
  <r>
    <s v="CT2016"/>
    <s v="William H Donner Foundation_State Policy Network199821000"/>
    <x v="1043"/>
    <x v="217"/>
    <x v="0"/>
    <n v="21000"/>
    <x v="28"/>
    <s v="verified"/>
    <m/>
  </r>
  <r>
    <s v="https://projects.propublica.org/nonprofits/organizations/731520309/202243189349105159/IRS990PF"/>
    <s v="William S &amp; Ann Atherton Foundation_State Policy Network20218000"/>
    <x v="1044"/>
    <x v="218"/>
    <x v="0"/>
    <n v="8000"/>
    <x v="18"/>
    <s v="added"/>
    <m/>
  </r>
  <r>
    <s v="https://projects.propublica.org/nonprofits/organizations/731520309/202123199349103587/IRS990PF"/>
    <s v="William S &amp; Ann Atherton Foundation_State Policy Network20208000"/>
    <x v="1045"/>
    <x v="218"/>
    <x v="0"/>
    <n v="8000"/>
    <x v="19"/>
    <s v="added"/>
    <m/>
  </r>
  <r>
    <s v="https://projects.propublica.org/nonprofits/organizations/731520309/202033219349105868/IRS990PF"/>
    <s v="William S &amp; Ann Atherton Foundation_State Policy Network20198000"/>
    <x v="1046"/>
    <x v="218"/>
    <x v="0"/>
    <n v="8000"/>
    <x v="1"/>
    <s v="added"/>
    <m/>
  </r>
  <r>
    <s v="https://projects.propublica.org/nonprofits/organizations/731520309/201933199349103138/IRS990PF"/>
    <s v="William S &amp; Ann Atherton Foundation_State Policy Network20188000"/>
    <x v="1047"/>
    <x v="218"/>
    <x v="0"/>
    <n v="8000"/>
    <x v="2"/>
    <s v="added"/>
    <m/>
  </r>
  <r>
    <s v="https://projects.propublica.org/nonprofits/organizations/731520309/201842349349100714/IRS990PF"/>
    <s v="William S &amp; Ann Atherton Foundation_State Policy Network20178000"/>
    <x v="1048"/>
    <x v="218"/>
    <x v="0"/>
    <n v="8000"/>
    <x v="3"/>
    <s v="added"/>
    <m/>
  </r>
  <r>
    <s v="https://projects.propublica.org/nonprofits/organizations/731520309/201723189349100337/IRS990PF"/>
    <s v="William S &amp; Ann Atherton Foundation_State Policy Network20168000"/>
    <x v="1049"/>
    <x v="218"/>
    <x v="0"/>
    <n v="8000"/>
    <x v="4"/>
    <s v="added"/>
    <m/>
  </r>
  <r>
    <s v="https://projects.propublica.org/nonprofits/organizations/731520309/201623209349104052/IRS990PF"/>
    <s v="William S &amp; Ann Atherton Foundation_State Policy Network20155000"/>
    <x v="1050"/>
    <x v="218"/>
    <x v="0"/>
    <n v="5000"/>
    <x v="5"/>
    <s v="added"/>
    <m/>
  </r>
  <r>
    <s v="https://projects.propublica.org/nonprofits/organizations/731520309/201503209349100210/IRS990PF"/>
    <s v="William S &amp; Ann Atherton Foundation_State Policy Network20141000"/>
    <x v="1051"/>
    <x v="218"/>
    <x v="0"/>
    <n v="1000"/>
    <x v="6"/>
    <s v="added"/>
    <m/>
  </r>
  <r>
    <s v="https://projects.propublica.org/nonprofits/display_990/731520309/2016_01_PF%2F73-1520309_990PF_201312"/>
    <s v="William S &amp; Ann Atherton Foundation_State Policy Network2013500"/>
    <x v="1052"/>
    <x v="218"/>
    <x v="0"/>
    <n v="500"/>
    <x v="7"/>
    <s v="added"/>
    <m/>
  </r>
  <r>
    <s v="https://projects.propublica.org/nonprofits/display_990/731520309/2013_12_PF%2F73-1520309_990PF_201212"/>
    <s v="William S &amp; Ann Atherton Foundation_State Policy Network2012500"/>
    <x v="1053"/>
    <x v="218"/>
    <x v="0"/>
    <n v="500"/>
    <x v="8"/>
    <s v="added"/>
    <m/>
  </r>
  <r>
    <s v="https://projects.propublica.org/nonprofits/display_990/731520309/2012_05_PF%2F73-1520309_990PF_201112"/>
    <s v="William S &amp; Ann Atherton Foundation_State Policy Network2011750"/>
    <x v="1054"/>
    <x v="218"/>
    <x v="0"/>
    <n v="750"/>
    <x v="9"/>
    <s v="added"/>
    <m/>
  </r>
  <r>
    <s v="https://projects.propublica.org/nonprofits/display_990/731520309/2011_05_PF%2F73-1520309_990PF_201012"/>
    <s v="William S &amp; Ann Atherton Foundation_State Policy Network2010750"/>
    <x v="1055"/>
    <x v="218"/>
    <x v="0"/>
    <n v="750"/>
    <x v="10"/>
    <s v="added"/>
    <m/>
  </r>
  <r>
    <s v="https://projects.propublica.org/nonprofits/display_990/731520309/2010_05_PF%2F73-1520309_990PF_200912"/>
    <s v="William S &amp; Ann Atherton Foundation_State Policy Network2009500"/>
    <x v="1056"/>
    <x v="218"/>
    <x v="0"/>
    <n v="500"/>
    <x v="11"/>
    <s v="added"/>
    <m/>
  </r>
  <r>
    <s v="https://projects.propublica.org/nonprofits/display_990/731520309/2009_04_PF%2F73-1520309_990PF_200812"/>
    <s v="William S &amp; Ann Atherton Foundation_State Policy Network2008500"/>
    <x v="1057"/>
    <x v="218"/>
    <x v="0"/>
    <n v="500"/>
    <x v="12"/>
    <s v="added"/>
    <m/>
  </r>
  <r>
    <n v="990"/>
    <s v="Wodecroft Foundation_State Policy Network201515000"/>
    <x v="1058"/>
    <x v="219"/>
    <x v="0"/>
    <n v="15000"/>
    <x v="5"/>
    <s v="added"/>
    <m/>
  </r>
  <r>
    <n v="990"/>
    <s v="Wodecroft Foundation_State Policy Network201410000"/>
    <x v="1059"/>
    <x v="219"/>
    <x v="0"/>
    <n v="10000"/>
    <x v="6"/>
    <s v="added"/>
    <m/>
  </r>
  <r>
    <n v="990"/>
    <s v="Wodecroft Foundation_State Policy Network20131000"/>
    <x v="1060"/>
    <x v="219"/>
    <x v="0"/>
    <n v="1000"/>
    <x v="7"/>
    <s v="added"/>
    <m/>
  </r>
  <r>
    <n v="990"/>
    <s v="Woodford Foundation for Limited Government_State Policy Network202110000"/>
    <x v="1061"/>
    <x v="220"/>
    <x v="0"/>
    <n v="10000"/>
    <x v="18"/>
    <s v="added"/>
    <m/>
  </r>
  <r>
    <n v="990"/>
    <s v="Woodford Foundation for Limited Government_State Policy Network202010000"/>
    <x v="1062"/>
    <x v="220"/>
    <x v="0"/>
    <n v="10000"/>
    <x v="19"/>
    <s v="added"/>
    <m/>
  </r>
  <r>
    <n v="990"/>
    <s v="Woodford Foundation for Limited Government_State Policy Network201910000"/>
    <x v="1063"/>
    <x v="220"/>
    <x v="0"/>
    <n v="10000"/>
    <x v="1"/>
    <s v="added"/>
    <m/>
  </r>
  <r>
    <n v="990"/>
    <s v="Woodford Foundation for Limited Government_State Policy Network201810000"/>
    <x v="1064"/>
    <x v="220"/>
    <x v="0"/>
    <n v="10000"/>
    <x v="2"/>
    <s v="added"/>
    <m/>
  </r>
  <r>
    <n v="990"/>
    <s v="Woodford Foundation for Limited Government_State Policy Network201710000"/>
    <x v="1065"/>
    <x v="220"/>
    <x v="0"/>
    <n v="10000"/>
    <x v="3"/>
    <s v="added"/>
    <m/>
  </r>
  <r>
    <n v="990"/>
    <s v="Woodford Foundation for Limited Government_State Policy Network201610000"/>
    <x v="1066"/>
    <x v="220"/>
    <x v="0"/>
    <n v="10000"/>
    <x v="4"/>
    <s v="added"/>
    <m/>
  </r>
  <r>
    <n v="990"/>
    <s v="Woodford Foundation for Limited Government_State Policy Network201510000"/>
    <x v="1067"/>
    <x v="220"/>
    <x v="0"/>
    <n v="10000"/>
    <x v="5"/>
    <s v="added"/>
    <m/>
  </r>
  <r>
    <n v="990"/>
    <s v="Woodford Foundation for Limited Government_State Policy Network20145000"/>
    <x v="1068"/>
    <x v="220"/>
    <x v="0"/>
    <n v="5000"/>
    <x v="6"/>
    <s v="added"/>
    <m/>
  </r>
  <r>
    <n v="990"/>
    <s v="Woodford Foundation for Limited Government_State Policy Network20135000"/>
    <x v="1069"/>
    <x v="220"/>
    <x v="0"/>
    <n v="5000"/>
    <x v="7"/>
    <s v="added"/>
    <m/>
  </r>
  <r>
    <n v="990"/>
    <s v="Woodford Foundation for Limited Government_State Policy Network201210000"/>
    <x v="1070"/>
    <x v="220"/>
    <x v="0"/>
    <n v="10000"/>
    <x v="8"/>
    <s v="added"/>
    <m/>
  </r>
  <r>
    <n v="990"/>
    <s v="Woodford Foundation for Limited Government_State Policy Network20116000"/>
    <x v="1071"/>
    <x v="220"/>
    <x v="0"/>
    <n v="6000"/>
    <x v="9"/>
    <s v="added"/>
    <m/>
  </r>
  <r>
    <n v="990"/>
    <s v="Woodford Foundation for Limited Government_State Policy Network20101000"/>
    <x v="1072"/>
    <x v="220"/>
    <x v="0"/>
    <n v="1000"/>
    <x v="10"/>
    <s v="added"/>
    <m/>
  </r>
  <r>
    <n v="990"/>
    <s v="Woodford Foundation for Limited Government_State Policy Network20091000"/>
    <x v="1073"/>
    <x v="220"/>
    <x v="0"/>
    <n v="1000"/>
    <x v="11"/>
    <s v="added"/>
    <m/>
  </r>
  <r>
    <n v="990"/>
    <s v="Woodford Foundation for Limited Government_State Policy Network20081000"/>
    <x v="1074"/>
    <x v="220"/>
    <x v="0"/>
    <n v="1000"/>
    <x v="12"/>
    <s v="added"/>
    <m/>
  </r>
  <r>
    <n v="990"/>
    <s v="Woodford Foundation for Limited Government_State Policy Network20071000"/>
    <x v="1075"/>
    <x v="220"/>
    <x v="0"/>
    <n v="1000"/>
    <x v="13"/>
    <s v="added"/>
    <m/>
  </r>
  <r>
    <s v="https://projects.propublica.org/nonprofits/organizations/205980265/202331329349102898/IRS990PF"/>
    <s v="Yarbrough Family Foundation_State Policy Network202225000"/>
    <x v="1076"/>
    <x v="221"/>
    <x v="0"/>
    <n v="25000"/>
    <x v="0"/>
    <s v="added"/>
    <m/>
  </r>
  <r>
    <s v="https://projects.propublica.org/nonprofits/organizations/205980265/202221329349103352/IRS990PF"/>
    <s v="Yarbrough Family Foundation_State Policy Network202125000"/>
    <x v="1077"/>
    <x v="221"/>
    <x v="0"/>
    <n v="25000"/>
    <x v="18"/>
    <s v="added"/>
    <m/>
  </r>
  <r>
    <s v="https://projects.propublica.org/nonprofits/organizations/205980265/202141329349101404/IRS990PF"/>
    <s v="Yarbrough Family Foundation_State Policy Network202010000"/>
    <x v="1078"/>
    <x v="221"/>
    <x v="0"/>
    <n v="10000"/>
    <x v="19"/>
    <s v="added"/>
    <m/>
  </r>
  <r>
    <m/>
    <m/>
    <x v="1079"/>
    <x v="222"/>
    <x v="129"/>
    <m/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A86FF9-9E4A-FB44-B672-9E7198EE76AD}" name="PivotTable1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Year">
  <location ref="A10:AE233" firstHeaderRow="1" firstDataRow="2" firstDataCol="1" rowPageCount="1" colPageCount="1"/>
  <pivotFields count="9">
    <pivotField showAll="0"/>
    <pivotField showAll="0"/>
    <pivotField showAll="0">
      <items count="1081"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3"/>
        <item x="22"/>
        <item x="21"/>
        <item x="20"/>
        <item x="19"/>
        <item x="18"/>
        <item x="32"/>
        <item x="31"/>
        <item x="30"/>
        <item x="29"/>
        <item x="28"/>
        <item x="27"/>
        <item x="26"/>
        <item x="25"/>
        <item x="24"/>
        <item x="36"/>
        <item x="35"/>
        <item x="34"/>
        <item x="33"/>
        <item x="37"/>
        <item x="48"/>
        <item x="47"/>
        <item x="46"/>
        <item x="45"/>
        <item x="44"/>
        <item x="43"/>
        <item x="42"/>
        <item x="41"/>
        <item x="40"/>
        <item x="39"/>
        <item x="38"/>
        <item x="51"/>
        <item x="50"/>
        <item x="49"/>
        <item x="52"/>
        <item x="59"/>
        <item x="58"/>
        <item x="57"/>
        <item x="56"/>
        <item x="55"/>
        <item x="54"/>
        <item x="53"/>
        <item x="62"/>
        <item x="61"/>
        <item x="60"/>
        <item x="66"/>
        <item x="65"/>
        <item x="64"/>
        <item x="63"/>
        <item x="68"/>
        <item x="67"/>
        <item x="69"/>
        <item x="70"/>
        <item x="72"/>
        <item x="71"/>
        <item x="73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89"/>
        <item x="91"/>
        <item x="90"/>
        <item x="94"/>
        <item x="93"/>
        <item x="92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106"/>
        <item x="110"/>
        <item x="109"/>
        <item x="108"/>
        <item x="107"/>
        <item x="111"/>
        <item x="119"/>
        <item x="118"/>
        <item x="117"/>
        <item x="116"/>
        <item x="115"/>
        <item x="114"/>
        <item x="113"/>
        <item x="112"/>
        <item x="121"/>
        <item x="120"/>
        <item x="122"/>
        <item x="123"/>
        <item x="125"/>
        <item x="124"/>
        <item x="131"/>
        <item x="130"/>
        <item x="129"/>
        <item x="128"/>
        <item x="127"/>
        <item x="126"/>
        <item x="135"/>
        <item x="134"/>
        <item x="133"/>
        <item x="132"/>
        <item x="136"/>
        <item x="138"/>
        <item x="137"/>
        <item x="143"/>
        <item x="142"/>
        <item x="141"/>
        <item x="140"/>
        <item x="139"/>
        <item x="144"/>
        <item x="149"/>
        <item x="148"/>
        <item x="147"/>
        <item x="146"/>
        <item x="145"/>
        <item x="158"/>
        <item x="157"/>
        <item x="156"/>
        <item x="155"/>
        <item x="154"/>
        <item x="153"/>
        <item x="152"/>
        <item x="151"/>
        <item x="150"/>
        <item x="159"/>
        <item x="160"/>
        <item x="164"/>
        <item x="163"/>
        <item x="162"/>
        <item x="161"/>
        <item x="172"/>
        <item x="171"/>
        <item x="170"/>
        <item x="169"/>
        <item x="168"/>
        <item x="167"/>
        <item x="166"/>
        <item x="165"/>
        <item x="175"/>
        <item x="174"/>
        <item x="173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95"/>
        <item x="196"/>
        <item x="201"/>
        <item x="200"/>
        <item x="199"/>
        <item x="198"/>
        <item x="197"/>
        <item x="202"/>
        <item x="204"/>
        <item x="203"/>
        <item x="205"/>
        <item x="213"/>
        <item x="212"/>
        <item x="211"/>
        <item x="210"/>
        <item x="209"/>
        <item x="208"/>
        <item x="207"/>
        <item x="206"/>
        <item x="220"/>
        <item x="219"/>
        <item x="218"/>
        <item x="217"/>
        <item x="216"/>
        <item x="215"/>
        <item x="214"/>
        <item x="221"/>
        <item x="224"/>
        <item x="223"/>
        <item x="222"/>
        <item x="225"/>
        <item x="226"/>
        <item x="234"/>
        <item x="233"/>
        <item x="232"/>
        <item x="231"/>
        <item x="230"/>
        <item x="229"/>
        <item x="228"/>
        <item x="227"/>
        <item x="243"/>
        <item x="242"/>
        <item x="241"/>
        <item x="240"/>
        <item x="239"/>
        <item x="238"/>
        <item x="237"/>
        <item x="236"/>
        <item x="235"/>
        <item x="251"/>
        <item x="250"/>
        <item x="249"/>
        <item x="248"/>
        <item x="247"/>
        <item x="246"/>
        <item x="245"/>
        <item x="244"/>
        <item x="256"/>
        <item x="255"/>
        <item x="254"/>
        <item x="253"/>
        <item x="252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96"/>
        <item x="295"/>
        <item x="294"/>
        <item x="293"/>
        <item x="303"/>
        <item x="302"/>
        <item x="301"/>
        <item x="300"/>
        <item x="299"/>
        <item x="298"/>
        <item x="297"/>
        <item x="306"/>
        <item x="305"/>
        <item x="304"/>
        <item x="307"/>
        <item x="308"/>
        <item x="309"/>
        <item x="310"/>
        <item x="313"/>
        <item x="312"/>
        <item x="311"/>
        <item x="314"/>
        <item x="318"/>
        <item x="317"/>
        <item x="316"/>
        <item x="315"/>
        <item x="322"/>
        <item x="321"/>
        <item x="320"/>
        <item x="319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38"/>
        <item x="339"/>
        <item x="345"/>
        <item x="344"/>
        <item x="343"/>
        <item x="342"/>
        <item x="341"/>
        <item x="340"/>
        <item x="350"/>
        <item x="349"/>
        <item x="348"/>
        <item x="347"/>
        <item x="346"/>
        <item x="352"/>
        <item x="351"/>
        <item x="361"/>
        <item x="360"/>
        <item x="359"/>
        <item x="358"/>
        <item x="357"/>
        <item x="356"/>
        <item x="355"/>
        <item x="354"/>
        <item x="353"/>
        <item x="364"/>
        <item x="363"/>
        <item x="362"/>
        <item x="369"/>
        <item x="368"/>
        <item x="367"/>
        <item x="366"/>
        <item x="365"/>
        <item x="373"/>
        <item x="372"/>
        <item x="371"/>
        <item x="370"/>
        <item x="374"/>
        <item x="375"/>
        <item x="376"/>
        <item x="377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93"/>
        <item x="403"/>
        <item x="402"/>
        <item x="401"/>
        <item x="400"/>
        <item x="399"/>
        <item x="398"/>
        <item x="397"/>
        <item x="396"/>
        <item x="395"/>
        <item x="394"/>
        <item x="412"/>
        <item x="411"/>
        <item x="410"/>
        <item x="409"/>
        <item x="408"/>
        <item x="407"/>
        <item x="406"/>
        <item x="405"/>
        <item x="404"/>
        <item x="414"/>
        <item x="413"/>
        <item x="419"/>
        <item x="418"/>
        <item x="417"/>
        <item x="416"/>
        <item x="415"/>
        <item x="421"/>
        <item x="420"/>
        <item x="422"/>
        <item x="427"/>
        <item x="426"/>
        <item x="425"/>
        <item x="424"/>
        <item x="423"/>
        <item x="428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45"/>
        <item x="444"/>
        <item x="446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69"/>
        <item x="470"/>
        <item x="473"/>
        <item x="472"/>
        <item x="471"/>
        <item x="475"/>
        <item x="474"/>
        <item x="480"/>
        <item x="479"/>
        <item x="478"/>
        <item x="477"/>
        <item x="476"/>
        <item x="481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99"/>
        <item x="503"/>
        <item x="502"/>
        <item x="501"/>
        <item x="500"/>
        <item x="506"/>
        <item x="505"/>
        <item x="504"/>
        <item x="519"/>
        <item x="518"/>
        <item x="517"/>
        <item x="516"/>
        <item x="515"/>
        <item x="514"/>
        <item x="513"/>
        <item x="512"/>
        <item x="511"/>
        <item x="510"/>
        <item x="509"/>
        <item x="508"/>
        <item x="507"/>
        <item x="525"/>
        <item x="524"/>
        <item x="523"/>
        <item x="522"/>
        <item x="521"/>
        <item x="520"/>
        <item x="527"/>
        <item x="526"/>
        <item x="539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40"/>
        <item x="547"/>
        <item x="546"/>
        <item x="545"/>
        <item x="544"/>
        <item x="543"/>
        <item x="542"/>
        <item x="541"/>
        <item x="552"/>
        <item x="551"/>
        <item x="550"/>
        <item x="549"/>
        <item x="548"/>
        <item x="557"/>
        <item x="556"/>
        <item x="555"/>
        <item x="554"/>
        <item x="553"/>
        <item x="567"/>
        <item x="566"/>
        <item x="565"/>
        <item x="564"/>
        <item x="563"/>
        <item x="562"/>
        <item x="561"/>
        <item x="560"/>
        <item x="559"/>
        <item x="558"/>
        <item x="568"/>
        <item x="575"/>
        <item x="574"/>
        <item x="573"/>
        <item x="572"/>
        <item x="571"/>
        <item x="570"/>
        <item x="569"/>
        <item x="576"/>
        <item x="578"/>
        <item x="577"/>
        <item x="591"/>
        <item x="590"/>
        <item x="589"/>
        <item x="588"/>
        <item x="587"/>
        <item x="586"/>
        <item x="585"/>
        <item x="584"/>
        <item x="583"/>
        <item x="582"/>
        <item x="581"/>
        <item x="580"/>
        <item x="579"/>
        <item x="603"/>
        <item x="602"/>
        <item x="601"/>
        <item x="600"/>
        <item x="599"/>
        <item x="598"/>
        <item x="597"/>
        <item x="596"/>
        <item x="595"/>
        <item x="594"/>
        <item x="593"/>
        <item x="592"/>
        <item x="605"/>
        <item x="604"/>
        <item x="606"/>
        <item x="608"/>
        <item x="607"/>
        <item x="611"/>
        <item x="610"/>
        <item x="609"/>
        <item x="612"/>
        <item x="624"/>
        <item x="623"/>
        <item x="622"/>
        <item x="621"/>
        <item x="620"/>
        <item x="619"/>
        <item x="618"/>
        <item x="617"/>
        <item x="616"/>
        <item x="615"/>
        <item x="614"/>
        <item x="613"/>
        <item x="625"/>
        <item x="627"/>
        <item x="626"/>
        <item x="645"/>
        <item x="644"/>
        <item x="643"/>
        <item x="642"/>
        <item x="641"/>
        <item x="640"/>
        <item x="639"/>
        <item x="638"/>
        <item x="637"/>
        <item x="636"/>
        <item x="635"/>
        <item x="634"/>
        <item x="633"/>
        <item x="632"/>
        <item x="631"/>
        <item x="630"/>
        <item x="629"/>
        <item x="628"/>
        <item x="655"/>
        <item x="654"/>
        <item x="653"/>
        <item x="652"/>
        <item x="651"/>
        <item x="650"/>
        <item x="649"/>
        <item x="648"/>
        <item x="647"/>
        <item x="646"/>
        <item x="656"/>
        <item x="672"/>
        <item x="671"/>
        <item x="670"/>
        <item x="669"/>
        <item x="668"/>
        <item x="667"/>
        <item x="666"/>
        <item x="665"/>
        <item x="664"/>
        <item x="663"/>
        <item x="662"/>
        <item x="661"/>
        <item x="660"/>
        <item x="659"/>
        <item x="658"/>
        <item x="657"/>
        <item x="678"/>
        <item x="677"/>
        <item x="676"/>
        <item x="675"/>
        <item x="674"/>
        <item x="673"/>
        <item x="683"/>
        <item x="682"/>
        <item x="681"/>
        <item x="680"/>
        <item x="679"/>
        <item x="684"/>
        <item x="686"/>
        <item x="685"/>
        <item x="690"/>
        <item x="689"/>
        <item x="688"/>
        <item x="687"/>
        <item x="691"/>
        <item x="694"/>
        <item x="693"/>
        <item x="692"/>
        <item x="695"/>
        <item x="697"/>
        <item x="696"/>
        <item x="700"/>
        <item x="699"/>
        <item x="698"/>
        <item x="704"/>
        <item x="703"/>
        <item x="702"/>
        <item x="701"/>
        <item x="711"/>
        <item x="710"/>
        <item x="709"/>
        <item x="708"/>
        <item x="707"/>
        <item x="706"/>
        <item x="705"/>
        <item x="712"/>
        <item x="713"/>
        <item x="723"/>
        <item x="722"/>
        <item x="721"/>
        <item x="720"/>
        <item x="719"/>
        <item x="718"/>
        <item x="717"/>
        <item x="716"/>
        <item x="715"/>
        <item x="714"/>
        <item x="728"/>
        <item x="727"/>
        <item x="726"/>
        <item x="725"/>
        <item x="724"/>
        <item x="733"/>
        <item x="732"/>
        <item x="731"/>
        <item x="730"/>
        <item x="729"/>
        <item x="734"/>
        <item x="747"/>
        <item x="746"/>
        <item x="745"/>
        <item x="744"/>
        <item x="743"/>
        <item x="742"/>
        <item x="741"/>
        <item x="740"/>
        <item x="739"/>
        <item x="738"/>
        <item x="737"/>
        <item x="736"/>
        <item x="735"/>
        <item x="748"/>
        <item x="749"/>
        <item x="751"/>
        <item x="750"/>
        <item x="752"/>
        <item x="753"/>
        <item x="754"/>
        <item x="757"/>
        <item x="756"/>
        <item x="755"/>
        <item x="760"/>
        <item x="759"/>
        <item x="758"/>
        <item x="761"/>
        <item x="762"/>
        <item x="774"/>
        <item x="773"/>
        <item x="772"/>
        <item x="771"/>
        <item x="770"/>
        <item x="769"/>
        <item x="768"/>
        <item x="767"/>
        <item x="766"/>
        <item x="765"/>
        <item x="764"/>
        <item x="763"/>
        <item x="779"/>
        <item x="778"/>
        <item x="777"/>
        <item x="776"/>
        <item x="775"/>
        <item x="781"/>
        <item x="780"/>
        <item x="782"/>
        <item x="784"/>
        <item x="783"/>
        <item x="785"/>
        <item x="788"/>
        <item x="787"/>
        <item x="786"/>
        <item x="789"/>
        <item x="799"/>
        <item x="798"/>
        <item x="797"/>
        <item x="796"/>
        <item x="795"/>
        <item x="794"/>
        <item x="793"/>
        <item x="792"/>
        <item x="791"/>
        <item x="790"/>
        <item x="802"/>
        <item x="801"/>
        <item x="800"/>
        <item x="803"/>
        <item x="814"/>
        <item x="813"/>
        <item x="812"/>
        <item x="811"/>
        <item x="810"/>
        <item x="809"/>
        <item x="808"/>
        <item x="807"/>
        <item x="806"/>
        <item x="805"/>
        <item x="804"/>
        <item x="816"/>
        <item x="815"/>
        <item x="822"/>
        <item x="821"/>
        <item x="820"/>
        <item x="819"/>
        <item x="818"/>
        <item x="817"/>
        <item x="826"/>
        <item x="825"/>
        <item x="824"/>
        <item x="823"/>
        <item x="836"/>
        <item x="835"/>
        <item x="834"/>
        <item x="833"/>
        <item x="832"/>
        <item x="831"/>
        <item x="830"/>
        <item x="829"/>
        <item x="828"/>
        <item x="827"/>
        <item x="844"/>
        <item x="843"/>
        <item x="842"/>
        <item x="841"/>
        <item x="840"/>
        <item x="839"/>
        <item x="838"/>
        <item x="837"/>
        <item x="854"/>
        <item x="853"/>
        <item x="852"/>
        <item x="851"/>
        <item x="850"/>
        <item x="849"/>
        <item x="848"/>
        <item x="847"/>
        <item x="846"/>
        <item x="845"/>
        <item x="866"/>
        <item x="865"/>
        <item x="864"/>
        <item x="863"/>
        <item x="862"/>
        <item x="861"/>
        <item x="860"/>
        <item x="859"/>
        <item x="858"/>
        <item x="857"/>
        <item x="856"/>
        <item x="855"/>
        <item x="889"/>
        <item x="888"/>
        <item x="887"/>
        <item x="886"/>
        <item x="885"/>
        <item x="884"/>
        <item x="883"/>
        <item x="882"/>
        <item x="881"/>
        <item x="880"/>
        <item x="879"/>
        <item x="878"/>
        <item x="877"/>
        <item x="876"/>
        <item x="875"/>
        <item x="874"/>
        <item x="873"/>
        <item x="872"/>
        <item x="871"/>
        <item x="870"/>
        <item x="869"/>
        <item x="868"/>
        <item x="867"/>
        <item x="890"/>
        <item x="891"/>
        <item x="892"/>
        <item x="898"/>
        <item x="897"/>
        <item x="896"/>
        <item x="895"/>
        <item x="894"/>
        <item x="893"/>
        <item x="906"/>
        <item x="905"/>
        <item x="904"/>
        <item x="903"/>
        <item x="902"/>
        <item x="901"/>
        <item x="900"/>
        <item x="899"/>
        <item x="907"/>
        <item x="924"/>
        <item x="923"/>
        <item x="922"/>
        <item x="921"/>
        <item x="920"/>
        <item x="919"/>
        <item x="918"/>
        <item x="917"/>
        <item x="916"/>
        <item x="915"/>
        <item x="914"/>
        <item x="913"/>
        <item x="912"/>
        <item x="911"/>
        <item x="910"/>
        <item x="909"/>
        <item x="908"/>
        <item x="928"/>
        <item x="927"/>
        <item x="926"/>
        <item x="925"/>
        <item x="933"/>
        <item x="932"/>
        <item x="931"/>
        <item x="930"/>
        <item x="929"/>
        <item x="938"/>
        <item x="937"/>
        <item x="936"/>
        <item x="935"/>
        <item x="934"/>
        <item x="939"/>
        <item x="940"/>
        <item x="959"/>
        <item x="958"/>
        <item x="957"/>
        <item x="956"/>
        <item x="955"/>
        <item x="954"/>
        <item x="953"/>
        <item x="952"/>
        <item x="951"/>
        <item x="950"/>
        <item x="949"/>
        <item x="948"/>
        <item x="947"/>
        <item x="946"/>
        <item x="945"/>
        <item x="944"/>
        <item x="943"/>
        <item x="942"/>
        <item x="941"/>
        <item x="965"/>
        <item x="964"/>
        <item x="963"/>
        <item x="962"/>
        <item x="961"/>
        <item x="960"/>
        <item x="966"/>
        <item x="968"/>
        <item x="967"/>
        <item x="969"/>
        <item x="973"/>
        <item x="972"/>
        <item x="971"/>
        <item x="970"/>
        <item x="981"/>
        <item x="980"/>
        <item x="979"/>
        <item x="978"/>
        <item x="977"/>
        <item x="976"/>
        <item x="975"/>
        <item x="974"/>
        <item x="982"/>
        <item x="983"/>
        <item x="989"/>
        <item x="988"/>
        <item x="987"/>
        <item x="986"/>
        <item x="985"/>
        <item x="984"/>
        <item x="1000"/>
        <item x="999"/>
        <item x="998"/>
        <item x="997"/>
        <item x="996"/>
        <item x="995"/>
        <item x="994"/>
        <item x="993"/>
        <item x="992"/>
        <item x="991"/>
        <item x="990"/>
        <item x="1002"/>
        <item x="1001"/>
        <item x="1004"/>
        <item x="1003"/>
        <item x="1019"/>
        <item x="1018"/>
        <item x="1017"/>
        <item x="1016"/>
        <item x="1015"/>
        <item x="1014"/>
        <item x="1013"/>
        <item x="1012"/>
        <item x="1011"/>
        <item x="1010"/>
        <item x="1009"/>
        <item x="1008"/>
        <item x="1007"/>
        <item x="1006"/>
        <item x="1005"/>
        <item x="1021"/>
        <item x="1020"/>
        <item x="1028"/>
        <item x="1027"/>
        <item x="1026"/>
        <item x="1025"/>
        <item x="1024"/>
        <item x="1023"/>
        <item x="1022"/>
        <item x="1032"/>
        <item x="1031"/>
        <item x="1030"/>
        <item x="1029"/>
        <item x="1033"/>
        <item x="1043"/>
        <item x="1042"/>
        <item x="1041"/>
        <item x="1040"/>
        <item x="1039"/>
        <item x="1038"/>
        <item x="1037"/>
        <item x="1036"/>
        <item x="1035"/>
        <item x="1034"/>
        <item x="1057"/>
        <item x="1056"/>
        <item x="1055"/>
        <item x="1054"/>
        <item x="1053"/>
        <item x="1052"/>
        <item x="1051"/>
        <item x="1050"/>
        <item x="1049"/>
        <item x="1048"/>
        <item x="1047"/>
        <item x="1046"/>
        <item x="1045"/>
        <item x="1044"/>
        <item x="1060"/>
        <item x="1059"/>
        <item x="1058"/>
        <item x="1075"/>
        <item x="1074"/>
        <item x="1073"/>
        <item x="1072"/>
        <item x="1071"/>
        <item x="1070"/>
        <item x="1069"/>
        <item x="1068"/>
        <item x="1067"/>
        <item x="1066"/>
        <item x="1065"/>
        <item x="1064"/>
        <item x="1063"/>
        <item x="1062"/>
        <item x="1061"/>
        <item x="1078"/>
        <item x="1077"/>
        <item x="1076"/>
        <item x="1079"/>
        <item t="default"/>
      </items>
    </pivotField>
    <pivotField axis="axisRow" showAll="0" sortType="descending">
      <items count="2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131">
        <item h="1" x="119"/>
        <item h="1" x="82"/>
        <item h="1" x="49"/>
        <item h="1" x="1"/>
        <item h="1" x="79"/>
        <item h="1" x="63"/>
        <item h="1" x="92"/>
        <item h="1" x="57"/>
        <item h="1" x="73"/>
        <item h="1" x="54"/>
        <item h="1" x="110"/>
        <item h="1" x="74"/>
        <item h="1" x="62"/>
        <item h="1" x="2"/>
        <item h="1" x="120"/>
        <item h="1" x="3"/>
        <item h="1" x="55"/>
        <item h="1" x="4"/>
        <item h="1" x="103"/>
        <item h="1" x="61"/>
        <item h="1" x="42"/>
        <item h="1" x="105"/>
        <item h="1" x="5"/>
        <item h="1" x="6"/>
        <item h="1" x="7"/>
        <item h="1" x="87"/>
        <item h="1" x="64"/>
        <item h="1" x="8"/>
        <item h="1" x="9"/>
        <item h="1" x="71"/>
        <item h="1" x="111"/>
        <item h="1" x="10"/>
        <item h="1" x="116"/>
        <item h="1" x="75"/>
        <item h="1" x="11"/>
        <item h="1" x="12"/>
        <item h="1" x="88"/>
        <item h="1" x="106"/>
        <item h="1" x="14"/>
        <item h="1" x="93"/>
        <item h="1" x="127"/>
        <item h="1" x="13"/>
        <item h="1" x="94"/>
        <item h="1" x="89"/>
        <item h="1" x="60"/>
        <item h="1" x="15"/>
        <item h="1" x="121"/>
        <item h="1" x="16"/>
        <item h="1" x="17"/>
        <item h="1" x="81"/>
        <item h="1" x="18"/>
        <item h="1" x="52"/>
        <item h="1" x="128"/>
        <item h="1" x="19"/>
        <item h="1" x="20"/>
        <item h="1" x="59"/>
        <item h="1" x="21"/>
        <item h="1" x="22"/>
        <item h="1" x="23"/>
        <item h="1" x="76"/>
        <item h="1" x="24"/>
        <item h="1" x="25"/>
        <item h="1" x="43"/>
        <item h="1" x="26"/>
        <item h="1" x="53"/>
        <item h="1" x="27"/>
        <item h="1" x="28"/>
        <item h="1" x="29"/>
        <item h="1" x="90"/>
        <item h="1" x="58"/>
        <item h="1" x="112"/>
        <item h="1" x="122"/>
        <item h="1" x="65"/>
        <item h="1" x="77"/>
        <item h="1" x="30"/>
        <item h="1" x="83"/>
        <item h="1" x="56"/>
        <item h="1" x="48"/>
        <item h="1" x="95"/>
        <item h="1" x="72"/>
        <item h="1" x="31"/>
        <item h="1" x="80"/>
        <item h="1" x="51"/>
        <item h="1" x="66"/>
        <item h="1" x="96"/>
        <item h="1" x="117"/>
        <item h="1" x="32"/>
        <item h="1" x="107"/>
        <item h="1" x="97"/>
        <item h="1" x="33"/>
        <item h="1" x="91"/>
        <item h="1" x="98"/>
        <item h="1" x="78"/>
        <item h="1" x="34"/>
        <item h="1" x="108"/>
        <item h="1" x="35"/>
        <item h="1" x="36"/>
        <item h="1" x="37"/>
        <item h="1" x="38"/>
        <item h="1" x="123"/>
        <item h="1" x="124"/>
        <item h="1" x="39"/>
        <item h="1" x="67"/>
        <item h="1" x="84"/>
        <item h="1" x="115"/>
        <item h="1" x="44"/>
        <item h="1" x="109"/>
        <item h="1" x="40"/>
        <item h="1" x="85"/>
        <item h="1" x="86"/>
        <item x="0"/>
        <item h="1" x="68"/>
        <item h="1" x="50"/>
        <item h="1" x="69"/>
        <item h="1" x="125"/>
        <item h="1" x="99"/>
        <item h="1" x="41"/>
        <item h="1" x="118"/>
        <item h="1" x="45"/>
        <item h="1" x="104"/>
        <item h="1" x="100"/>
        <item h="1" x="113"/>
        <item h="1" x="70"/>
        <item h="1" x="101"/>
        <item h="1" x="46"/>
        <item h="1" x="126"/>
        <item h="1" x="114"/>
        <item h="1" x="102"/>
        <item h="1" x="47"/>
        <item h="1" x="129"/>
        <item t="default"/>
      </items>
    </pivotField>
    <pivotField dataField="1" showAll="0"/>
    <pivotField axis="axisCol" showAll="0">
      <items count="31">
        <item x="27"/>
        <item x="26"/>
        <item x="24"/>
        <item x="25"/>
        <item x="28"/>
        <item x="23"/>
        <item x="21"/>
        <item x="20"/>
        <item x="22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19"/>
        <item x="18"/>
        <item x="0"/>
        <item x="29"/>
        <item t="default"/>
      </items>
    </pivotField>
    <pivotField showAll="0"/>
    <pivotField showAll="0"/>
  </pivotFields>
  <rowFields count="1">
    <field x="3"/>
  </rowFields>
  <rowItems count="222">
    <i>
      <x v="60"/>
    </i>
    <i>
      <x v="59"/>
    </i>
    <i>
      <x v="193"/>
    </i>
    <i>
      <x v="186"/>
    </i>
    <i>
      <x v="214"/>
    </i>
    <i>
      <x v="190"/>
    </i>
    <i>
      <x v="137"/>
    </i>
    <i>
      <x v="208"/>
    </i>
    <i>
      <x v="206"/>
    </i>
    <i>
      <x v="76"/>
    </i>
    <i>
      <x v="114"/>
    </i>
    <i>
      <x v="111"/>
    </i>
    <i>
      <x v="2"/>
    </i>
    <i>
      <x v="56"/>
    </i>
    <i>
      <x/>
    </i>
    <i>
      <x v="175"/>
    </i>
    <i>
      <x v="107"/>
    </i>
    <i>
      <x v="121"/>
    </i>
    <i>
      <x v="153"/>
    </i>
    <i>
      <x v="147"/>
    </i>
    <i>
      <x v="62"/>
    </i>
    <i>
      <x v="24"/>
    </i>
    <i>
      <x v="152"/>
    </i>
    <i>
      <x v="39"/>
    </i>
    <i>
      <x v="16"/>
    </i>
    <i>
      <x v="134"/>
    </i>
    <i>
      <x v="211"/>
    </i>
    <i>
      <x v="191"/>
    </i>
    <i>
      <x v="212"/>
    </i>
    <i>
      <x v="96"/>
    </i>
    <i>
      <x v="42"/>
    </i>
    <i>
      <x v="26"/>
    </i>
    <i>
      <x v="217"/>
    </i>
    <i>
      <x v="135"/>
    </i>
    <i>
      <x v="118"/>
    </i>
    <i>
      <x v="23"/>
    </i>
    <i>
      <x v="35"/>
    </i>
    <i>
      <x v="63"/>
    </i>
    <i>
      <x v="105"/>
    </i>
    <i>
      <x v="146"/>
    </i>
    <i>
      <x v="220"/>
    </i>
    <i>
      <x v="210"/>
    </i>
    <i>
      <x v="29"/>
    </i>
    <i>
      <x v="104"/>
    </i>
    <i>
      <x v="167"/>
    </i>
    <i>
      <x v="116"/>
    </i>
    <i>
      <x v="94"/>
    </i>
    <i>
      <x v="124"/>
    </i>
    <i>
      <x v="75"/>
    </i>
    <i>
      <x v="40"/>
    </i>
    <i>
      <x v="154"/>
    </i>
    <i>
      <x v="169"/>
    </i>
    <i>
      <x v="185"/>
    </i>
    <i>
      <x v="78"/>
    </i>
    <i>
      <x v="88"/>
    </i>
    <i>
      <x v="70"/>
    </i>
    <i>
      <x v="221"/>
    </i>
    <i>
      <x v="209"/>
    </i>
    <i>
      <x v="218"/>
    </i>
    <i>
      <x v="183"/>
    </i>
    <i>
      <x v="112"/>
    </i>
    <i>
      <x v="10"/>
    </i>
    <i>
      <x v="66"/>
    </i>
    <i>
      <x v="47"/>
    </i>
    <i>
      <x v="33"/>
    </i>
    <i>
      <x v="45"/>
    </i>
    <i>
      <x v="184"/>
    </i>
    <i>
      <x v="15"/>
    </i>
    <i>
      <x v="149"/>
    </i>
    <i>
      <x v="159"/>
    </i>
    <i>
      <x v="194"/>
    </i>
    <i>
      <x v="68"/>
    </i>
    <i>
      <x v="178"/>
    </i>
    <i>
      <x v="25"/>
    </i>
    <i>
      <x v="81"/>
    </i>
    <i>
      <x v="144"/>
    </i>
    <i>
      <x v="133"/>
    </i>
    <i>
      <x v="182"/>
    </i>
    <i>
      <x v="100"/>
    </i>
    <i>
      <x v="219"/>
    </i>
    <i>
      <x v="115"/>
    </i>
    <i>
      <x v="61"/>
    </i>
    <i>
      <x v="165"/>
    </i>
    <i>
      <x v="67"/>
    </i>
    <i>
      <x v="18"/>
    </i>
    <i>
      <x v="55"/>
    </i>
    <i>
      <x v="148"/>
    </i>
    <i>
      <x v="180"/>
    </i>
    <i>
      <x v="73"/>
    </i>
    <i>
      <x v="139"/>
    </i>
    <i>
      <x v="41"/>
    </i>
    <i>
      <x v="156"/>
    </i>
    <i>
      <x v="110"/>
    </i>
    <i>
      <x v="86"/>
    </i>
    <i>
      <x v="9"/>
    </i>
    <i>
      <x v="202"/>
    </i>
    <i>
      <x v="20"/>
    </i>
    <i>
      <x v="91"/>
    </i>
    <i>
      <x v="131"/>
    </i>
    <i>
      <x v="48"/>
    </i>
    <i>
      <x v="125"/>
    </i>
    <i>
      <x v="6"/>
    </i>
    <i>
      <x v="37"/>
    </i>
    <i>
      <x v="11"/>
    </i>
    <i>
      <x v="46"/>
    </i>
    <i>
      <x v="12"/>
    </i>
    <i>
      <x v="49"/>
    </i>
    <i>
      <x v="57"/>
    </i>
    <i>
      <x v="168"/>
    </i>
    <i>
      <x v="72"/>
    </i>
    <i>
      <x v="205"/>
    </i>
    <i>
      <x v="170"/>
    </i>
    <i>
      <x v="103"/>
    </i>
    <i>
      <x v="204"/>
    </i>
    <i>
      <x v="215"/>
    </i>
    <i>
      <x v="150"/>
    </i>
    <i>
      <x v="136"/>
    </i>
    <i>
      <x v="43"/>
    </i>
    <i>
      <x v="83"/>
    </i>
    <i>
      <x v="151"/>
    </i>
    <i>
      <x v="95"/>
    </i>
    <i>
      <x v="69"/>
    </i>
    <i>
      <x v="119"/>
    </i>
    <i>
      <x v="19"/>
    </i>
    <i>
      <x v="143"/>
    </i>
    <i>
      <x v="80"/>
    </i>
    <i>
      <x v="196"/>
    </i>
    <i>
      <x v="145"/>
    </i>
    <i>
      <x v="93"/>
    </i>
    <i>
      <x v="1"/>
    </i>
    <i>
      <x v="138"/>
    </i>
    <i>
      <x v="3"/>
    </i>
    <i>
      <x v="99"/>
    </i>
    <i>
      <x v="126"/>
    </i>
    <i>
      <x v="54"/>
    </i>
    <i>
      <x v="90"/>
    </i>
    <i>
      <x v="5"/>
    </i>
    <i>
      <x v="14"/>
    </i>
    <i>
      <x v="113"/>
    </i>
    <i>
      <x v="50"/>
    </i>
    <i>
      <x v="127"/>
    </i>
    <i>
      <x v="132"/>
    </i>
    <i>
      <x v="176"/>
    </i>
    <i>
      <x v="155"/>
    </i>
    <i>
      <x v="64"/>
    </i>
    <i>
      <x v="71"/>
    </i>
    <i>
      <x v="27"/>
    </i>
    <i>
      <x v="142"/>
    </i>
    <i>
      <x v="79"/>
    </i>
    <i>
      <x v="30"/>
    </i>
    <i>
      <x v="117"/>
    </i>
    <i>
      <x v="102"/>
    </i>
    <i>
      <x v="36"/>
    </i>
    <i>
      <x v="109"/>
    </i>
    <i>
      <x v="200"/>
    </i>
    <i>
      <x v="141"/>
    </i>
    <i>
      <x v="52"/>
    </i>
    <i>
      <x v="85"/>
    </i>
    <i>
      <x v="123"/>
    </i>
    <i>
      <x v="163"/>
    </i>
    <i>
      <x v="213"/>
    </i>
    <i>
      <x v="92"/>
    </i>
    <i>
      <x v="89"/>
    </i>
    <i>
      <x v="8"/>
    </i>
    <i>
      <x v="203"/>
    </i>
    <i>
      <x v="38"/>
    </i>
    <i>
      <x v="179"/>
    </i>
    <i>
      <x v="158"/>
    </i>
    <i>
      <x v="101"/>
    </i>
    <i>
      <x v="181"/>
    </i>
    <i>
      <x v="161"/>
    </i>
    <i>
      <x v="74"/>
    </i>
    <i>
      <x v="207"/>
    </i>
    <i>
      <x v="53"/>
    </i>
    <i>
      <x v="198"/>
    </i>
    <i>
      <x v="160"/>
    </i>
    <i>
      <x v="77"/>
    </i>
    <i>
      <x v="192"/>
    </i>
    <i>
      <x v="32"/>
    </i>
    <i>
      <x v="188"/>
    </i>
    <i>
      <x v="44"/>
    </i>
    <i>
      <x v="173"/>
    </i>
    <i>
      <x v="28"/>
    </i>
    <i>
      <x v="58"/>
    </i>
    <i>
      <x v="129"/>
    </i>
    <i>
      <x v="87"/>
    </i>
    <i>
      <x v="195"/>
    </i>
    <i>
      <x v="34"/>
    </i>
    <i>
      <x v="4"/>
    </i>
    <i>
      <x v="65"/>
    </i>
    <i>
      <x v="84"/>
    </i>
    <i>
      <x v="140"/>
    </i>
    <i>
      <x v="162"/>
    </i>
    <i>
      <x v="108"/>
    </i>
    <i>
      <x v="13"/>
    </i>
    <i>
      <x v="122"/>
    </i>
    <i>
      <x v="120"/>
    </i>
    <i>
      <x v="97"/>
    </i>
    <i>
      <x v="216"/>
    </i>
    <i>
      <x v="22"/>
    </i>
    <i>
      <x v="51"/>
    </i>
    <i>
      <x v="164"/>
    </i>
    <i>
      <x v="177"/>
    </i>
    <i>
      <x v="197"/>
    </i>
    <i>
      <x v="172"/>
    </i>
    <i>
      <x v="7"/>
    </i>
    <i>
      <x v="201"/>
    </i>
    <i>
      <x v="174"/>
    </i>
    <i>
      <x v="21"/>
    </i>
    <i>
      <x v="128"/>
    </i>
    <i>
      <x v="187"/>
    </i>
    <i>
      <x v="17"/>
    </i>
    <i>
      <x v="106"/>
    </i>
    <i>
      <x v="166"/>
    </i>
    <i>
      <x v="189"/>
    </i>
    <i>
      <x v="98"/>
    </i>
    <i>
      <x v="31"/>
    </i>
    <i>
      <x v="157"/>
    </i>
    <i>
      <x v="130"/>
    </i>
    <i>
      <x v="82"/>
    </i>
    <i>
      <x v="171"/>
    </i>
    <i t="grand">
      <x/>
    </i>
  </rowItems>
  <colFields count="1">
    <field x="6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pageFields count="1">
    <pageField fld="4" hier="-1"/>
  </pageFields>
  <dataFields count="1">
    <dataField name="Sum of contribution" fld="5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4CF27A-7BBB-8742-A1D2-A76894CCC9AD}" name="PivotTable2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Recipient" colHeaderCaption="Year">
  <location ref="A240:U370" firstHeaderRow="1" firstDataRow="2" firstDataCol="1"/>
  <pivotFields count="9">
    <pivotField showAll="0"/>
    <pivotField showAll="0"/>
    <pivotField showAll="0">
      <items count="1081"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3"/>
        <item x="22"/>
        <item x="21"/>
        <item x="20"/>
        <item x="19"/>
        <item x="18"/>
        <item x="32"/>
        <item x="31"/>
        <item x="30"/>
        <item x="29"/>
        <item x="28"/>
        <item x="27"/>
        <item x="26"/>
        <item x="25"/>
        <item x="24"/>
        <item x="36"/>
        <item x="35"/>
        <item x="34"/>
        <item x="33"/>
        <item x="37"/>
        <item x="48"/>
        <item x="47"/>
        <item x="46"/>
        <item x="45"/>
        <item x="44"/>
        <item x="43"/>
        <item x="42"/>
        <item x="41"/>
        <item x="40"/>
        <item x="39"/>
        <item x="38"/>
        <item x="51"/>
        <item x="50"/>
        <item x="49"/>
        <item x="52"/>
        <item x="59"/>
        <item x="58"/>
        <item x="57"/>
        <item x="56"/>
        <item x="55"/>
        <item x="54"/>
        <item x="53"/>
        <item x="62"/>
        <item x="61"/>
        <item x="60"/>
        <item x="66"/>
        <item x="65"/>
        <item x="64"/>
        <item x="63"/>
        <item x="68"/>
        <item x="67"/>
        <item x="69"/>
        <item x="70"/>
        <item x="72"/>
        <item x="71"/>
        <item x="73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89"/>
        <item x="91"/>
        <item x="90"/>
        <item x="94"/>
        <item x="93"/>
        <item x="92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106"/>
        <item x="110"/>
        <item x="109"/>
        <item x="108"/>
        <item x="107"/>
        <item x="111"/>
        <item x="119"/>
        <item x="118"/>
        <item x="117"/>
        <item x="116"/>
        <item x="115"/>
        <item x="114"/>
        <item x="113"/>
        <item x="112"/>
        <item x="121"/>
        <item x="120"/>
        <item x="122"/>
        <item x="123"/>
        <item x="125"/>
        <item x="124"/>
        <item x="131"/>
        <item x="130"/>
        <item x="129"/>
        <item x="128"/>
        <item x="127"/>
        <item x="126"/>
        <item x="135"/>
        <item x="134"/>
        <item x="133"/>
        <item x="132"/>
        <item x="136"/>
        <item x="138"/>
        <item x="137"/>
        <item x="143"/>
        <item x="142"/>
        <item x="141"/>
        <item x="140"/>
        <item x="139"/>
        <item x="144"/>
        <item x="149"/>
        <item x="148"/>
        <item x="147"/>
        <item x="146"/>
        <item x="145"/>
        <item x="158"/>
        <item x="157"/>
        <item x="156"/>
        <item x="155"/>
        <item x="154"/>
        <item x="153"/>
        <item x="152"/>
        <item x="151"/>
        <item x="150"/>
        <item x="159"/>
        <item x="160"/>
        <item x="164"/>
        <item x="163"/>
        <item x="162"/>
        <item x="161"/>
        <item x="172"/>
        <item x="171"/>
        <item x="170"/>
        <item x="169"/>
        <item x="168"/>
        <item x="167"/>
        <item x="166"/>
        <item x="165"/>
        <item x="175"/>
        <item x="174"/>
        <item x="173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95"/>
        <item x="196"/>
        <item x="201"/>
        <item x="200"/>
        <item x="199"/>
        <item x="198"/>
        <item x="197"/>
        <item x="202"/>
        <item x="204"/>
        <item x="203"/>
        <item x="205"/>
        <item x="213"/>
        <item x="212"/>
        <item x="211"/>
        <item x="210"/>
        <item x="209"/>
        <item x="208"/>
        <item x="207"/>
        <item x="206"/>
        <item x="220"/>
        <item x="219"/>
        <item x="218"/>
        <item x="217"/>
        <item x="216"/>
        <item x="215"/>
        <item x="214"/>
        <item x="221"/>
        <item x="224"/>
        <item x="223"/>
        <item x="222"/>
        <item x="225"/>
        <item x="226"/>
        <item x="234"/>
        <item x="233"/>
        <item x="232"/>
        <item x="231"/>
        <item x="230"/>
        <item x="229"/>
        <item x="228"/>
        <item x="227"/>
        <item x="243"/>
        <item x="242"/>
        <item x="241"/>
        <item x="240"/>
        <item x="239"/>
        <item x="238"/>
        <item x="237"/>
        <item x="236"/>
        <item x="235"/>
        <item x="251"/>
        <item x="250"/>
        <item x="249"/>
        <item x="248"/>
        <item x="247"/>
        <item x="246"/>
        <item x="245"/>
        <item x="244"/>
        <item x="256"/>
        <item x="255"/>
        <item x="254"/>
        <item x="253"/>
        <item x="252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96"/>
        <item x="295"/>
        <item x="294"/>
        <item x="293"/>
        <item x="303"/>
        <item x="302"/>
        <item x="301"/>
        <item x="300"/>
        <item x="299"/>
        <item x="298"/>
        <item x="297"/>
        <item x="306"/>
        <item x="305"/>
        <item x="304"/>
        <item x="307"/>
        <item x="308"/>
        <item x="309"/>
        <item x="310"/>
        <item x="313"/>
        <item x="312"/>
        <item x="311"/>
        <item x="314"/>
        <item x="318"/>
        <item x="317"/>
        <item x="316"/>
        <item x="315"/>
        <item x="322"/>
        <item x="321"/>
        <item x="320"/>
        <item x="319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38"/>
        <item x="339"/>
        <item x="345"/>
        <item x="344"/>
        <item x="343"/>
        <item x="342"/>
        <item x="341"/>
        <item x="340"/>
        <item x="350"/>
        <item x="349"/>
        <item x="348"/>
        <item x="347"/>
        <item x="346"/>
        <item x="352"/>
        <item x="351"/>
        <item x="361"/>
        <item x="360"/>
        <item x="359"/>
        <item x="358"/>
        <item x="357"/>
        <item x="356"/>
        <item x="355"/>
        <item x="354"/>
        <item x="353"/>
        <item x="364"/>
        <item x="363"/>
        <item x="362"/>
        <item x="369"/>
        <item x="368"/>
        <item x="367"/>
        <item x="366"/>
        <item x="365"/>
        <item x="373"/>
        <item x="372"/>
        <item x="371"/>
        <item x="370"/>
        <item x="374"/>
        <item x="375"/>
        <item x="376"/>
        <item x="377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93"/>
        <item x="403"/>
        <item x="402"/>
        <item x="401"/>
        <item x="400"/>
        <item x="399"/>
        <item x="398"/>
        <item x="397"/>
        <item x="396"/>
        <item x="395"/>
        <item x="394"/>
        <item x="412"/>
        <item x="411"/>
        <item x="410"/>
        <item x="409"/>
        <item x="408"/>
        <item x="407"/>
        <item x="406"/>
        <item x="405"/>
        <item x="404"/>
        <item x="414"/>
        <item x="413"/>
        <item x="419"/>
        <item x="418"/>
        <item x="417"/>
        <item x="416"/>
        <item x="415"/>
        <item x="421"/>
        <item x="420"/>
        <item x="422"/>
        <item x="427"/>
        <item x="426"/>
        <item x="425"/>
        <item x="424"/>
        <item x="423"/>
        <item x="428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45"/>
        <item x="444"/>
        <item x="446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69"/>
        <item x="470"/>
        <item x="473"/>
        <item x="472"/>
        <item x="471"/>
        <item x="475"/>
        <item x="474"/>
        <item x="480"/>
        <item x="479"/>
        <item x="478"/>
        <item x="477"/>
        <item x="476"/>
        <item x="481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99"/>
        <item x="503"/>
        <item x="502"/>
        <item x="501"/>
        <item x="500"/>
        <item x="506"/>
        <item x="505"/>
        <item x="504"/>
        <item x="519"/>
        <item x="518"/>
        <item x="517"/>
        <item x="516"/>
        <item x="515"/>
        <item x="514"/>
        <item x="513"/>
        <item x="512"/>
        <item x="511"/>
        <item x="510"/>
        <item x="509"/>
        <item x="508"/>
        <item x="507"/>
        <item x="525"/>
        <item x="524"/>
        <item x="523"/>
        <item x="522"/>
        <item x="521"/>
        <item x="520"/>
        <item x="527"/>
        <item x="526"/>
        <item x="539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40"/>
        <item x="547"/>
        <item x="546"/>
        <item x="545"/>
        <item x="544"/>
        <item x="543"/>
        <item x="542"/>
        <item x="541"/>
        <item x="552"/>
        <item x="551"/>
        <item x="550"/>
        <item x="549"/>
        <item x="548"/>
        <item x="557"/>
        <item x="556"/>
        <item x="555"/>
        <item x="554"/>
        <item x="553"/>
        <item x="567"/>
        <item x="566"/>
        <item x="565"/>
        <item x="564"/>
        <item x="563"/>
        <item x="562"/>
        <item x="561"/>
        <item x="560"/>
        <item x="559"/>
        <item x="558"/>
        <item x="568"/>
        <item x="575"/>
        <item x="574"/>
        <item x="573"/>
        <item x="572"/>
        <item x="571"/>
        <item x="570"/>
        <item x="569"/>
        <item x="576"/>
        <item x="578"/>
        <item x="577"/>
        <item x="591"/>
        <item x="590"/>
        <item x="589"/>
        <item x="588"/>
        <item x="587"/>
        <item x="586"/>
        <item x="585"/>
        <item x="584"/>
        <item x="583"/>
        <item x="582"/>
        <item x="581"/>
        <item x="580"/>
        <item x="579"/>
        <item x="603"/>
        <item x="602"/>
        <item x="601"/>
        <item x="600"/>
        <item x="599"/>
        <item x="598"/>
        <item x="597"/>
        <item x="596"/>
        <item x="595"/>
        <item x="594"/>
        <item x="593"/>
        <item x="592"/>
        <item x="605"/>
        <item x="604"/>
        <item x="606"/>
        <item x="608"/>
        <item x="607"/>
        <item x="611"/>
        <item x="610"/>
        <item x="609"/>
        <item x="612"/>
        <item x="624"/>
        <item x="623"/>
        <item x="622"/>
        <item x="621"/>
        <item x="620"/>
        <item x="619"/>
        <item x="618"/>
        <item x="617"/>
        <item x="616"/>
        <item x="615"/>
        <item x="614"/>
        <item x="613"/>
        <item x="625"/>
        <item x="627"/>
        <item x="626"/>
        <item x="645"/>
        <item x="644"/>
        <item x="643"/>
        <item x="642"/>
        <item x="641"/>
        <item x="640"/>
        <item x="639"/>
        <item x="638"/>
        <item x="637"/>
        <item x="636"/>
        <item x="635"/>
        <item x="634"/>
        <item x="633"/>
        <item x="632"/>
        <item x="631"/>
        <item x="630"/>
        <item x="629"/>
        <item x="628"/>
        <item x="655"/>
        <item x="654"/>
        <item x="653"/>
        <item x="652"/>
        <item x="651"/>
        <item x="650"/>
        <item x="649"/>
        <item x="648"/>
        <item x="647"/>
        <item x="646"/>
        <item x="656"/>
        <item x="672"/>
        <item x="671"/>
        <item x="670"/>
        <item x="669"/>
        <item x="668"/>
        <item x="667"/>
        <item x="666"/>
        <item x="665"/>
        <item x="664"/>
        <item x="663"/>
        <item x="662"/>
        <item x="661"/>
        <item x="660"/>
        <item x="659"/>
        <item x="658"/>
        <item x="657"/>
        <item x="678"/>
        <item x="677"/>
        <item x="676"/>
        <item x="675"/>
        <item x="674"/>
        <item x="673"/>
        <item x="683"/>
        <item x="682"/>
        <item x="681"/>
        <item x="680"/>
        <item x="679"/>
        <item x="684"/>
        <item x="686"/>
        <item x="685"/>
        <item x="690"/>
        <item x="689"/>
        <item x="688"/>
        <item x="687"/>
        <item x="691"/>
        <item x="694"/>
        <item x="693"/>
        <item x="692"/>
        <item x="695"/>
        <item x="697"/>
        <item x="696"/>
        <item x="700"/>
        <item x="699"/>
        <item x="698"/>
        <item x="704"/>
        <item x="703"/>
        <item x="702"/>
        <item x="701"/>
        <item x="711"/>
        <item x="710"/>
        <item x="709"/>
        <item x="708"/>
        <item x="707"/>
        <item x="706"/>
        <item x="705"/>
        <item x="712"/>
        <item x="713"/>
        <item x="723"/>
        <item x="722"/>
        <item x="721"/>
        <item x="720"/>
        <item x="719"/>
        <item x="718"/>
        <item x="717"/>
        <item x="716"/>
        <item x="715"/>
        <item x="714"/>
        <item x="728"/>
        <item x="727"/>
        <item x="726"/>
        <item x="725"/>
        <item x="724"/>
        <item x="733"/>
        <item x="732"/>
        <item x="731"/>
        <item x="730"/>
        <item x="729"/>
        <item x="734"/>
        <item x="747"/>
        <item x="746"/>
        <item x="745"/>
        <item x="744"/>
        <item x="743"/>
        <item x="742"/>
        <item x="741"/>
        <item x="740"/>
        <item x="739"/>
        <item x="738"/>
        <item x="737"/>
        <item x="736"/>
        <item x="735"/>
        <item x="748"/>
        <item x="749"/>
        <item x="751"/>
        <item x="750"/>
        <item x="752"/>
        <item x="753"/>
        <item x="754"/>
        <item x="757"/>
        <item x="756"/>
        <item x="755"/>
        <item x="760"/>
        <item x="759"/>
        <item x="758"/>
        <item x="761"/>
        <item x="762"/>
        <item x="774"/>
        <item x="773"/>
        <item x="772"/>
        <item x="771"/>
        <item x="770"/>
        <item x="769"/>
        <item x="768"/>
        <item x="767"/>
        <item x="766"/>
        <item x="765"/>
        <item x="764"/>
        <item x="763"/>
        <item x="779"/>
        <item x="778"/>
        <item x="777"/>
        <item x="776"/>
        <item x="775"/>
        <item x="781"/>
        <item x="780"/>
        <item x="782"/>
        <item x="784"/>
        <item x="783"/>
        <item x="785"/>
        <item x="788"/>
        <item x="787"/>
        <item x="786"/>
        <item x="789"/>
        <item x="799"/>
        <item x="798"/>
        <item x="797"/>
        <item x="796"/>
        <item x="795"/>
        <item x="794"/>
        <item x="793"/>
        <item x="792"/>
        <item x="791"/>
        <item x="790"/>
        <item x="802"/>
        <item x="801"/>
        <item x="800"/>
        <item x="803"/>
        <item x="814"/>
        <item x="813"/>
        <item x="812"/>
        <item x="811"/>
        <item x="810"/>
        <item x="809"/>
        <item x="808"/>
        <item x="807"/>
        <item x="806"/>
        <item x="805"/>
        <item x="804"/>
        <item x="816"/>
        <item x="815"/>
        <item x="822"/>
        <item x="821"/>
        <item x="820"/>
        <item x="819"/>
        <item x="818"/>
        <item x="817"/>
        <item x="826"/>
        <item x="825"/>
        <item x="824"/>
        <item x="823"/>
        <item x="836"/>
        <item x="835"/>
        <item x="834"/>
        <item x="833"/>
        <item x="832"/>
        <item x="831"/>
        <item x="830"/>
        <item x="829"/>
        <item x="828"/>
        <item x="827"/>
        <item x="844"/>
        <item x="843"/>
        <item x="842"/>
        <item x="841"/>
        <item x="840"/>
        <item x="839"/>
        <item x="838"/>
        <item x="837"/>
        <item x="854"/>
        <item x="853"/>
        <item x="852"/>
        <item x="851"/>
        <item x="850"/>
        <item x="849"/>
        <item x="848"/>
        <item x="847"/>
        <item x="846"/>
        <item x="845"/>
        <item x="866"/>
        <item x="865"/>
        <item x="864"/>
        <item x="863"/>
        <item x="862"/>
        <item x="861"/>
        <item x="860"/>
        <item x="859"/>
        <item x="858"/>
        <item x="857"/>
        <item x="856"/>
        <item x="855"/>
        <item x="889"/>
        <item x="888"/>
        <item x="887"/>
        <item x="886"/>
        <item x="885"/>
        <item x="884"/>
        <item x="883"/>
        <item x="882"/>
        <item x="881"/>
        <item x="880"/>
        <item x="879"/>
        <item x="878"/>
        <item x="877"/>
        <item x="876"/>
        <item x="875"/>
        <item x="874"/>
        <item x="873"/>
        <item x="872"/>
        <item x="871"/>
        <item x="870"/>
        <item x="869"/>
        <item x="868"/>
        <item x="867"/>
        <item x="890"/>
        <item x="891"/>
        <item x="892"/>
        <item x="898"/>
        <item x="897"/>
        <item x="896"/>
        <item x="895"/>
        <item x="894"/>
        <item x="893"/>
        <item x="906"/>
        <item x="905"/>
        <item x="904"/>
        <item x="903"/>
        <item x="902"/>
        <item x="901"/>
        <item x="900"/>
        <item x="899"/>
        <item x="907"/>
        <item x="924"/>
        <item x="923"/>
        <item x="922"/>
        <item x="921"/>
        <item x="920"/>
        <item x="919"/>
        <item x="918"/>
        <item x="917"/>
        <item x="916"/>
        <item x="915"/>
        <item x="914"/>
        <item x="913"/>
        <item x="912"/>
        <item x="911"/>
        <item x="910"/>
        <item x="909"/>
        <item x="908"/>
        <item x="928"/>
        <item x="927"/>
        <item x="926"/>
        <item x="925"/>
        <item x="933"/>
        <item x="932"/>
        <item x="931"/>
        <item x="930"/>
        <item x="929"/>
        <item x="938"/>
        <item x="937"/>
        <item x="936"/>
        <item x="935"/>
        <item x="934"/>
        <item x="939"/>
        <item x="940"/>
        <item x="959"/>
        <item x="958"/>
        <item x="957"/>
        <item x="956"/>
        <item x="955"/>
        <item x="954"/>
        <item x="953"/>
        <item x="952"/>
        <item x="951"/>
        <item x="950"/>
        <item x="949"/>
        <item x="948"/>
        <item x="947"/>
        <item x="946"/>
        <item x="945"/>
        <item x="944"/>
        <item x="943"/>
        <item x="942"/>
        <item x="941"/>
        <item x="965"/>
        <item x="964"/>
        <item x="963"/>
        <item x="962"/>
        <item x="961"/>
        <item x="960"/>
        <item x="966"/>
        <item x="968"/>
        <item x="967"/>
        <item x="969"/>
        <item x="973"/>
        <item x="972"/>
        <item x="971"/>
        <item x="970"/>
        <item x="981"/>
        <item x="980"/>
        <item x="979"/>
        <item x="978"/>
        <item x="977"/>
        <item x="976"/>
        <item x="975"/>
        <item x="974"/>
        <item x="982"/>
        <item x="983"/>
        <item x="989"/>
        <item x="988"/>
        <item x="987"/>
        <item x="986"/>
        <item x="985"/>
        <item x="984"/>
        <item x="1000"/>
        <item x="999"/>
        <item x="998"/>
        <item x="997"/>
        <item x="996"/>
        <item x="995"/>
        <item x="994"/>
        <item x="993"/>
        <item x="992"/>
        <item x="991"/>
        <item x="990"/>
        <item x="1002"/>
        <item x="1001"/>
        <item x="1004"/>
        <item x="1003"/>
        <item x="1019"/>
        <item x="1018"/>
        <item x="1017"/>
        <item x="1016"/>
        <item x="1015"/>
        <item x="1014"/>
        <item x="1013"/>
        <item x="1012"/>
        <item x="1011"/>
        <item x="1010"/>
        <item x="1009"/>
        <item x="1008"/>
        <item x="1007"/>
        <item x="1006"/>
        <item x="1005"/>
        <item x="1021"/>
        <item x="1020"/>
        <item x="1028"/>
        <item x="1027"/>
        <item x="1026"/>
        <item x="1025"/>
        <item x="1024"/>
        <item x="1023"/>
        <item x="1022"/>
        <item x="1032"/>
        <item x="1031"/>
        <item x="1030"/>
        <item x="1029"/>
        <item x="1033"/>
        <item x="1043"/>
        <item x="1042"/>
        <item x="1041"/>
        <item x="1040"/>
        <item x="1039"/>
        <item x="1038"/>
        <item x="1037"/>
        <item x="1036"/>
        <item x="1035"/>
        <item x="1034"/>
        <item x="1057"/>
        <item x="1056"/>
        <item x="1055"/>
        <item x="1054"/>
        <item x="1053"/>
        <item x="1052"/>
        <item x="1051"/>
        <item x="1050"/>
        <item x="1049"/>
        <item x="1048"/>
        <item x="1047"/>
        <item x="1046"/>
        <item x="1045"/>
        <item x="1044"/>
        <item x="1060"/>
        <item x="1059"/>
        <item x="1058"/>
        <item x="1075"/>
        <item x="1074"/>
        <item x="1073"/>
        <item x="1072"/>
        <item x="1071"/>
        <item x="1070"/>
        <item x="1069"/>
        <item x="1068"/>
        <item x="1067"/>
        <item x="1066"/>
        <item x="1065"/>
        <item x="1064"/>
        <item x="1063"/>
        <item x="1062"/>
        <item x="1061"/>
        <item x="1078"/>
        <item x="1077"/>
        <item x="1076"/>
        <item x="1079"/>
        <item t="default"/>
      </items>
    </pivotField>
    <pivotField showAll="0" sortType="descending">
      <items count="2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multipleItemSelectionAllowed="1" showAll="0" sortType="descending">
      <items count="131">
        <item x="119"/>
        <item x="82"/>
        <item x="49"/>
        <item x="1"/>
        <item x="79"/>
        <item x="63"/>
        <item x="92"/>
        <item x="57"/>
        <item x="73"/>
        <item x="54"/>
        <item x="110"/>
        <item x="74"/>
        <item x="62"/>
        <item x="2"/>
        <item x="120"/>
        <item x="3"/>
        <item x="55"/>
        <item x="4"/>
        <item x="103"/>
        <item x="61"/>
        <item x="42"/>
        <item x="105"/>
        <item x="5"/>
        <item x="6"/>
        <item x="7"/>
        <item x="87"/>
        <item x="64"/>
        <item x="8"/>
        <item x="9"/>
        <item x="71"/>
        <item x="111"/>
        <item x="10"/>
        <item x="116"/>
        <item x="75"/>
        <item x="11"/>
        <item x="12"/>
        <item x="88"/>
        <item x="106"/>
        <item x="14"/>
        <item x="93"/>
        <item x="127"/>
        <item x="13"/>
        <item x="94"/>
        <item x="89"/>
        <item x="60"/>
        <item x="15"/>
        <item x="121"/>
        <item x="16"/>
        <item x="17"/>
        <item x="81"/>
        <item x="18"/>
        <item x="52"/>
        <item x="128"/>
        <item x="19"/>
        <item x="20"/>
        <item x="59"/>
        <item x="21"/>
        <item x="22"/>
        <item x="23"/>
        <item x="76"/>
        <item x="24"/>
        <item x="25"/>
        <item x="43"/>
        <item x="26"/>
        <item x="53"/>
        <item x="27"/>
        <item x="28"/>
        <item x="29"/>
        <item x="90"/>
        <item x="58"/>
        <item x="112"/>
        <item x="122"/>
        <item x="65"/>
        <item x="77"/>
        <item x="30"/>
        <item x="83"/>
        <item x="56"/>
        <item x="48"/>
        <item x="95"/>
        <item x="72"/>
        <item x="31"/>
        <item x="80"/>
        <item x="51"/>
        <item x="66"/>
        <item x="96"/>
        <item x="117"/>
        <item x="32"/>
        <item x="107"/>
        <item x="97"/>
        <item x="33"/>
        <item x="91"/>
        <item x="98"/>
        <item x="78"/>
        <item x="34"/>
        <item x="108"/>
        <item x="35"/>
        <item x="36"/>
        <item x="37"/>
        <item x="38"/>
        <item x="123"/>
        <item x="124"/>
        <item x="39"/>
        <item x="67"/>
        <item x="84"/>
        <item x="115"/>
        <item x="44"/>
        <item x="109"/>
        <item x="40"/>
        <item x="85"/>
        <item x="86"/>
        <item h="1" x="0"/>
        <item x="68"/>
        <item x="50"/>
        <item x="69"/>
        <item x="125"/>
        <item x="99"/>
        <item x="41"/>
        <item x="118"/>
        <item x="45"/>
        <item x="104"/>
        <item x="100"/>
        <item x="113"/>
        <item x="70"/>
        <item x="101"/>
        <item x="46"/>
        <item x="126"/>
        <item x="114"/>
        <item x="102"/>
        <item x="47"/>
        <item x="1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>
      <items count="31">
        <item x="27"/>
        <item x="26"/>
        <item x="24"/>
        <item x="25"/>
        <item x="28"/>
        <item x="23"/>
        <item x="21"/>
        <item x="20"/>
        <item x="22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19"/>
        <item x="18"/>
        <item x="0"/>
        <item h="1" x="29"/>
        <item t="default"/>
      </items>
    </pivotField>
    <pivotField showAll="0"/>
    <pivotField showAll="0"/>
  </pivotFields>
  <rowFields count="1">
    <field x="4"/>
  </rowFields>
  <rowItems count="129">
    <i>
      <x v="96"/>
    </i>
    <i>
      <x v="56"/>
    </i>
    <i>
      <x v="17"/>
    </i>
    <i>
      <x v="45"/>
    </i>
    <i>
      <x v="20"/>
    </i>
    <i>
      <x v="31"/>
    </i>
    <i>
      <x v="57"/>
    </i>
    <i>
      <x v="62"/>
    </i>
    <i>
      <x v="74"/>
    </i>
    <i>
      <x v="86"/>
    </i>
    <i>
      <x v="23"/>
    </i>
    <i>
      <x v="107"/>
    </i>
    <i>
      <x v="22"/>
    </i>
    <i>
      <x v="38"/>
    </i>
    <i>
      <x v="34"/>
    </i>
    <i>
      <x v="41"/>
    </i>
    <i>
      <x v="48"/>
    </i>
    <i>
      <x v="24"/>
    </i>
    <i>
      <x v="116"/>
    </i>
    <i>
      <x v="97"/>
    </i>
    <i>
      <x v="88"/>
    </i>
    <i>
      <x v="60"/>
    </i>
    <i>
      <x v="47"/>
    </i>
    <i>
      <x v="95"/>
    </i>
    <i>
      <x v="105"/>
    </i>
    <i>
      <x v="128"/>
    </i>
    <i>
      <x v="98"/>
    </i>
    <i>
      <x v="90"/>
    </i>
    <i>
      <x v="67"/>
    </i>
    <i>
      <x v="63"/>
    </i>
    <i>
      <x v="55"/>
    </i>
    <i>
      <x v="3"/>
    </i>
    <i>
      <x v="79"/>
    </i>
    <i>
      <x v="76"/>
    </i>
    <i>
      <x v="66"/>
    </i>
    <i>
      <x v="124"/>
    </i>
    <i>
      <x v="35"/>
    </i>
    <i>
      <x v="91"/>
    </i>
    <i>
      <x v="93"/>
    </i>
    <i>
      <x v="15"/>
    </i>
    <i>
      <x v="28"/>
    </i>
    <i>
      <x v="111"/>
    </i>
    <i>
      <x v="94"/>
    </i>
    <i>
      <x v="84"/>
    </i>
    <i>
      <x v="2"/>
    </i>
    <i>
      <x v="102"/>
    </i>
    <i>
      <x v="118"/>
    </i>
    <i>
      <x v="122"/>
    </i>
    <i>
      <x v="104"/>
    </i>
    <i>
      <x v="85"/>
    </i>
    <i>
      <x v="37"/>
    </i>
    <i>
      <x v="44"/>
    </i>
    <i>
      <x v="81"/>
    </i>
    <i>
      <x v="103"/>
    </i>
    <i>
      <x v="87"/>
    </i>
    <i>
      <x v="64"/>
    </i>
    <i>
      <x v="65"/>
    </i>
    <i>
      <x v="58"/>
    </i>
    <i>
      <x v="80"/>
    </i>
    <i>
      <x v="75"/>
    </i>
    <i>
      <x v="108"/>
    </i>
    <i>
      <x v="18"/>
    </i>
    <i>
      <x v="1"/>
    </i>
    <i>
      <x v="9"/>
    </i>
    <i>
      <x v="50"/>
    </i>
    <i>
      <x v="42"/>
    </i>
    <i>
      <x v="69"/>
    </i>
    <i>
      <x v="83"/>
    </i>
    <i>
      <x v="125"/>
    </i>
    <i>
      <x v="126"/>
    </i>
    <i>
      <x v="117"/>
    </i>
    <i>
      <x v="32"/>
    </i>
    <i>
      <x v="77"/>
    </i>
    <i>
      <x v="19"/>
    </i>
    <i>
      <x v="43"/>
    </i>
    <i>
      <x v="51"/>
    </i>
    <i>
      <x v="92"/>
    </i>
    <i>
      <x v="82"/>
    </i>
    <i>
      <x v="5"/>
    </i>
    <i>
      <x v="21"/>
    </i>
    <i>
      <x v="121"/>
    </i>
    <i>
      <x v="114"/>
    </i>
    <i>
      <x v="54"/>
    </i>
    <i>
      <x v="70"/>
    </i>
    <i>
      <x v="30"/>
    </i>
    <i>
      <x v="16"/>
    </i>
    <i>
      <x v="101"/>
    </i>
    <i>
      <x v="27"/>
    </i>
    <i>
      <x v="7"/>
    </i>
    <i>
      <x v="112"/>
    </i>
    <i>
      <x v="120"/>
    </i>
    <i>
      <x v="53"/>
    </i>
    <i>
      <x v="13"/>
    </i>
    <i>
      <x v="26"/>
    </i>
    <i>
      <x v="100"/>
    </i>
    <i>
      <x v="123"/>
    </i>
    <i>
      <x v="115"/>
    </i>
    <i>
      <x v="109"/>
    </i>
    <i>
      <x v="78"/>
    </i>
    <i>
      <x v="6"/>
    </i>
    <i>
      <x v="36"/>
    </i>
    <i>
      <x v="68"/>
    </i>
    <i>
      <x v="8"/>
    </i>
    <i>
      <x v="89"/>
    </i>
    <i>
      <x v="127"/>
    </i>
    <i>
      <x v="61"/>
    </i>
    <i>
      <x v="99"/>
    </i>
    <i>
      <x v="25"/>
    </i>
    <i>
      <x v="39"/>
    </i>
    <i>
      <x v="29"/>
    </i>
    <i>
      <x v="72"/>
    </i>
    <i>
      <x v="14"/>
    </i>
    <i>
      <x v="11"/>
    </i>
    <i>
      <x v="12"/>
    </i>
    <i>
      <x v="106"/>
    </i>
    <i>
      <x v="49"/>
    </i>
    <i>
      <x v="4"/>
    </i>
    <i>
      <x v="33"/>
    </i>
    <i>
      <x v="73"/>
    </i>
    <i>
      <x v="113"/>
    </i>
    <i>
      <x v="119"/>
    </i>
    <i>
      <x v="10"/>
    </i>
    <i>
      <x v="59"/>
    </i>
    <i>
      <x/>
    </i>
    <i>
      <x v="52"/>
    </i>
    <i>
      <x v="40"/>
    </i>
    <i>
      <x v="46"/>
    </i>
    <i>
      <x v="71"/>
    </i>
    <i t="grand">
      <x/>
    </i>
  </rowItems>
  <colFields count="1">
    <field x="6"/>
  </colFields>
  <colItems count="20">
    <i>
      <x v="8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Sum of contribution" fld="5" baseField="0" baseItem="0" numFmtId="165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.com/state-policy-network/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856B-FDFA-264C-B0EF-E7FFBB71C0EC}">
  <dimension ref="A1:AF370"/>
  <sheetViews>
    <sheetView tabSelected="1" workbookViewId="0">
      <selection activeCell="F5" sqref="F5"/>
    </sheetView>
  </sheetViews>
  <sheetFormatPr baseColWidth="10" defaultRowHeight="16" x14ac:dyDescent="0.2"/>
  <cols>
    <col min="1" max="1" width="55.83203125" bestFit="1" customWidth="1"/>
    <col min="2" max="5" width="10" bestFit="1" customWidth="1"/>
    <col min="6" max="6" width="11.5" bestFit="1" customWidth="1"/>
    <col min="7" max="8" width="10" bestFit="1" customWidth="1"/>
    <col min="9" max="13" width="11.5" bestFit="1" customWidth="1"/>
    <col min="14" max="14" width="10" bestFit="1" customWidth="1"/>
    <col min="15" max="15" width="11.5" bestFit="1" customWidth="1"/>
    <col min="16" max="16" width="10" bestFit="1" customWidth="1"/>
    <col min="17" max="20" width="11.5" bestFit="1" customWidth="1"/>
    <col min="21" max="22" width="12.5" bestFit="1" customWidth="1"/>
    <col min="23" max="25" width="11.5" bestFit="1" customWidth="1"/>
    <col min="26" max="30" width="12.5" bestFit="1" customWidth="1"/>
    <col min="31" max="31" width="13.5" bestFit="1" customWidth="1"/>
    <col min="32" max="32" width="89.83203125" customWidth="1"/>
    <col min="33" max="34" width="27" bestFit="1" customWidth="1"/>
    <col min="35" max="38" width="19.6640625" bestFit="1" customWidth="1"/>
    <col min="39" max="39" width="41" bestFit="1" customWidth="1"/>
    <col min="40" max="50" width="22.83203125" bestFit="1" customWidth="1"/>
    <col min="51" max="53" width="33.5" bestFit="1" customWidth="1"/>
    <col min="54" max="54" width="26.83203125" bestFit="1" customWidth="1"/>
    <col min="55" max="61" width="29.6640625" bestFit="1" customWidth="1"/>
    <col min="62" max="64" width="34.6640625" bestFit="1" customWidth="1"/>
    <col min="65" max="68" width="47.33203125" bestFit="1" customWidth="1"/>
    <col min="69" max="70" width="38.83203125" bestFit="1" customWidth="1"/>
    <col min="71" max="71" width="37" bestFit="1" customWidth="1"/>
    <col min="72" max="72" width="38.33203125" bestFit="1" customWidth="1"/>
    <col min="73" max="74" width="27" bestFit="1" customWidth="1"/>
    <col min="75" max="75" width="63.5" bestFit="1" customWidth="1"/>
    <col min="76" max="90" width="24.83203125" bestFit="1" customWidth="1"/>
    <col min="91" max="93" width="37.1640625" bestFit="1" customWidth="1"/>
    <col min="94" max="96" width="27.33203125" bestFit="1" customWidth="1"/>
    <col min="97" max="107" width="27.6640625" bestFit="1" customWidth="1"/>
    <col min="108" max="108" width="20.1640625" bestFit="1" customWidth="1"/>
    <col min="109" max="112" width="39.1640625" bestFit="1" customWidth="1"/>
    <col min="113" max="113" width="35.5" bestFit="1" customWidth="1"/>
    <col min="114" max="121" width="28.33203125" bestFit="1" customWidth="1"/>
    <col min="122" max="123" width="21" bestFit="1" customWidth="1"/>
    <col min="124" max="124" width="35.83203125" bestFit="1" customWidth="1"/>
    <col min="125" max="125" width="27" bestFit="1" customWidth="1"/>
    <col min="126" max="127" width="23" bestFit="1" customWidth="1"/>
    <col min="128" max="133" width="23.5" bestFit="1" customWidth="1"/>
    <col min="134" max="137" width="38.83203125" bestFit="1" customWidth="1"/>
    <col min="138" max="138" width="21.1640625" bestFit="1" customWidth="1"/>
    <col min="139" max="140" width="20.6640625" bestFit="1" customWidth="1"/>
    <col min="141" max="145" width="35.83203125" bestFit="1" customWidth="1"/>
    <col min="146" max="146" width="22.6640625" bestFit="1" customWidth="1"/>
    <col min="147" max="151" width="25.6640625" bestFit="1" customWidth="1"/>
    <col min="152" max="160" width="44" bestFit="1" customWidth="1"/>
    <col min="161" max="161" width="35.5" bestFit="1" customWidth="1"/>
    <col min="162" max="162" width="35.1640625" bestFit="1" customWidth="1"/>
    <col min="163" max="166" width="24.1640625" bestFit="1" customWidth="1"/>
    <col min="167" max="174" width="37.83203125" bestFit="1" customWidth="1"/>
    <col min="175" max="177" width="24.33203125" bestFit="1" customWidth="1"/>
    <col min="178" max="196" width="30.1640625" bestFit="1" customWidth="1"/>
    <col min="197" max="197" width="25.6640625" bestFit="1" customWidth="1"/>
    <col min="198" max="198" width="30.1640625" bestFit="1" customWidth="1"/>
    <col min="199" max="203" width="38.6640625" bestFit="1" customWidth="1"/>
    <col min="204" max="204" width="32.6640625" bestFit="1" customWidth="1"/>
    <col min="205" max="206" width="38.33203125" bestFit="1" customWidth="1"/>
    <col min="207" max="207" width="50" bestFit="1" customWidth="1"/>
    <col min="208" max="215" width="38.33203125" bestFit="1" customWidth="1"/>
    <col min="216" max="222" width="30" bestFit="1" customWidth="1"/>
    <col min="223" max="223" width="30.6640625" bestFit="1" customWidth="1"/>
    <col min="224" max="226" width="28.33203125" bestFit="1" customWidth="1"/>
    <col min="227" max="227" width="49" bestFit="1" customWidth="1"/>
    <col min="228" max="228" width="23.6640625" bestFit="1" customWidth="1"/>
    <col min="229" max="236" width="29.5" bestFit="1" customWidth="1"/>
    <col min="237" max="245" width="33.5" bestFit="1" customWidth="1"/>
    <col min="246" max="253" width="26.6640625" bestFit="1" customWidth="1"/>
    <col min="254" max="258" width="43.33203125" bestFit="1" customWidth="1"/>
    <col min="259" max="274" width="23" bestFit="1" customWidth="1"/>
    <col min="275" max="294" width="16.33203125" bestFit="1" customWidth="1"/>
    <col min="295" max="298" width="29.83203125" bestFit="1" customWidth="1"/>
    <col min="299" max="305" width="51.83203125" bestFit="1" customWidth="1"/>
    <col min="306" max="308" width="32.83203125" bestFit="1" customWidth="1"/>
    <col min="309" max="309" width="23.1640625" bestFit="1" customWidth="1"/>
    <col min="310" max="310" width="61.5" bestFit="1" customWidth="1"/>
    <col min="311" max="311" width="18" bestFit="1" customWidth="1"/>
    <col min="312" max="312" width="30.83203125" bestFit="1" customWidth="1"/>
    <col min="313" max="315" width="25.6640625" bestFit="1" customWidth="1"/>
    <col min="316" max="316" width="29.5" bestFit="1" customWidth="1"/>
    <col min="317" max="320" width="41.5" bestFit="1" customWidth="1"/>
    <col min="321" max="324" width="45.33203125" bestFit="1" customWidth="1"/>
    <col min="325" max="339" width="30.6640625" bestFit="1" customWidth="1"/>
    <col min="340" max="340" width="36.5" bestFit="1" customWidth="1"/>
    <col min="341" max="341" width="28.5" bestFit="1" customWidth="1"/>
    <col min="342" max="347" width="27.83203125" bestFit="1" customWidth="1"/>
    <col min="348" max="352" width="40.83203125" bestFit="1" customWidth="1"/>
    <col min="353" max="354" width="46.83203125" bestFit="1" customWidth="1"/>
    <col min="355" max="363" width="33.5" bestFit="1" customWidth="1"/>
    <col min="364" max="366" width="53.83203125" bestFit="1" customWidth="1"/>
    <col min="367" max="371" width="32.6640625" bestFit="1" customWidth="1"/>
    <col min="372" max="375" width="32" bestFit="1" customWidth="1"/>
    <col min="376" max="376" width="39" bestFit="1" customWidth="1"/>
    <col min="377" max="377" width="43.6640625" bestFit="1" customWidth="1"/>
    <col min="378" max="378" width="20.5" bestFit="1" customWidth="1"/>
    <col min="379" max="379" width="28" bestFit="1" customWidth="1"/>
    <col min="380" max="394" width="28.6640625" bestFit="1" customWidth="1"/>
    <col min="395" max="395" width="18.33203125" bestFit="1" customWidth="1"/>
    <col min="396" max="405" width="19.33203125" bestFit="1" customWidth="1"/>
    <col min="406" max="414" width="48" bestFit="1" customWidth="1"/>
    <col min="415" max="416" width="25.83203125" bestFit="1" customWidth="1"/>
    <col min="417" max="421" width="20.33203125" bestFit="1" customWidth="1"/>
    <col min="422" max="423" width="39.33203125" bestFit="1" customWidth="1"/>
    <col min="424" max="424" width="36.33203125" bestFit="1" customWidth="1"/>
    <col min="425" max="429" width="40.33203125" bestFit="1" customWidth="1"/>
    <col min="430" max="430" width="43.1640625" bestFit="1" customWidth="1"/>
    <col min="431" max="445" width="30.1640625" bestFit="1" customWidth="1"/>
    <col min="446" max="447" width="34.83203125" bestFit="1" customWidth="1"/>
    <col min="448" max="448" width="28" bestFit="1" customWidth="1"/>
    <col min="449" max="459" width="22.5" bestFit="1" customWidth="1"/>
    <col min="460" max="470" width="25" bestFit="1" customWidth="1"/>
    <col min="471" max="471" width="28.83203125" bestFit="1" customWidth="1"/>
    <col min="472" max="472" width="21" bestFit="1" customWidth="1"/>
    <col min="473" max="475" width="28.6640625" bestFit="1" customWidth="1"/>
    <col min="476" max="477" width="30.33203125" bestFit="1" customWidth="1"/>
    <col min="478" max="482" width="22.1640625" bestFit="1" customWidth="1"/>
    <col min="483" max="483" width="28.33203125" bestFit="1" customWidth="1"/>
    <col min="484" max="500" width="28.5" bestFit="1" customWidth="1"/>
    <col min="501" max="501" width="29.83203125" bestFit="1" customWidth="1"/>
    <col min="502" max="505" width="47.33203125" bestFit="1" customWidth="1"/>
    <col min="506" max="508" width="38.1640625" bestFit="1" customWidth="1"/>
    <col min="509" max="521" width="28.5" bestFit="1" customWidth="1"/>
    <col min="522" max="527" width="25.83203125" bestFit="1" customWidth="1"/>
    <col min="528" max="529" width="30.33203125" bestFit="1" customWidth="1"/>
    <col min="530" max="541" width="18.33203125" bestFit="1" customWidth="1"/>
    <col min="542" max="542" width="27.1640625" bestFit="1" customWidth="1"/>
    <col min="543" max="549" width="40" bestFit="1" customWidth="1"/>
    <col min="550" max="554" width="28.33203125" bestFit="1" customWidth="1"/>
    <col min="555" max="559" width="25.83203125" bestFit="1" customWidth="1"/>
    <col min="560" max="569" width="39.5" bestFit="1" customWidth="1"/>
    <col min="570" max="570" width="49" bestFit="1" customWidth="1"/>
    <col min="571" max="577" width="31.5" bestFit="1" customWidth="1"/>
    <col min="578" max="578" width="31.1640625" bestFit="1" customWidth="1"/>
    <col min="579" max="580" width="26.6640625" bestFit="1" customWidth="1"/>
    <col min="581" max="593" width="27" bestFit="1" customWidth="1"/>
    <col min="594" max="605" width="30.33203125" bestFit="1" customWidth="1"/>
    <col min="606" max="607" width="29.6640625" bestFit="1" customWidth="1"/>
    <col min="608" max="608" width="22" bestFit="1" customWidth="1"/>
    <col min="609" max="610" width="27.5" bestFit="1" customWidth="1"/>
    <col min="611" max="613" width="31.1640625" bestFit="1" customWidth="1"/>
    <col min="614" max="614" width="44.5" bestFit="1" customWidth="1"/>
    <col min="615" max="626" width="21.1640625" bestFit="1" customWidth="1"/>
    <col min="627" max="627" width="37.33203125" bestFit="1" customWidth="1"/>
    <col min="628" max="629" width="32.33203125" bestFit="1" customWidth="1"/>
    <col min="630" max="647" width="35.1640625" bestFit="1" customWidth="1"/>
    <col min="648" max="657" width="23.33203125" bestFit="1" customWidth="1"/>
    <col min="658" max="658" width="27.5" bestFit="1" customWidth="1"/>
    <col min="659" max="674" width="37" bestFit="1" customWidth="1"/>
    <col min="675" max="685" width="31.5" bestFit="1" customWidth="1"/>
    <col min="686" max="686" width="35.5" bestFit="1" customWidth="1"/>
    <col min="687" max="688" width="35.83203125" bestFit="1" customWidth="1"/>
    <col min="689" max="692" width="28.6640625" bestFit="1" customWidth="1"/>
    <col min="693" max="693" width="24.1640625" bestFit="1" customWidth="1"/>
    <col min="694" max="696" width="29" bestFit="1" customWidth="1"/>
    <col min="697" max="697" width="19.83203125" bestFit="1" customWidth="1"/>
    <col min="698" max="699" width="28.33203125" bestFit="1" customWidth="1"/>
    <col min="700" max="702" width="38.1640625" bestFit="1" customWidth="1"/>
    <col min="703" max="706" width="26.1640625" bestFit="1" customWidth="1"/>
    <col min="707" max="713" width="30.33203125" bestFit="1" customWidth="1"/>
    <col min="714" max="714" width="19.33203125" bestFit="1" customWidth="1"/>
    <col min="715" max="715" width="41.33203125" bestFit="1" customWidth="1"/>
    <col min="716" max="725" width="40.1640625" bestFit="1" customWidth="1"/>
    <col min="726" max="730" width="29.5" bestFit="1" customWidth="1"/>
    <col min="731" max="735" width="41.5" bestFit="1" customWidth="1"/>
    <col min="736" max="736" width="39.33203125" bestFit="1" customWidth="1"/>
    <col min="737" max="749" width="24.83203125" bestFit="1" customWidth="1"/>
    <col min="750" max="750" width="53.5" bestFit="1" customWidth="1"/>
    <col min="751" max="751" width="34.83203125" bestFit="1" customWidth="1"/>
    <col min="752" max="753" width="30.33203125" bestFit="1" customWidth="1"/>
    <col min="754" max="754" width="25" bestFit="1" customWidth="1"/>
    <col min="755" max="755" width="27.6640625" bestFit="1" customWidth="1"/>
    <col min="756" max="756" width="26.1640625" bestFit="1" customWidth="1"/>
    <col min="757" max="759" width="32.6640625" bestFit="1" customWidth="1"/>
    <col min="760" max="762" width="45.33203125" bestFit="1" customWidth="1"/>
    <col min="763" max="763" width="37.5" bestFit="1" customWidth="1"/>
    <col min="764" max="764" width="20.6640625" bestFit="1" customWidth="1"/>
    <col min="765" max="776" width="22.1640625" bestFit="1" customWidth="1"/>
    <col min="777" max="781" width="42.83203125" bestFit="1" customWidth="1"/>
    <col min="782" max="783" width="12.1640625" bestFit="1" customWidth="1"/>
    <col min="784" max="784" width="18.6640625" bestFit="1" customWidth="1"/>
    <col min="785" max="786" width="24.5" bestFit="1" customWidth="1"/>
    <col min="787" max="787" width="15.83203125" bestFit="1" customWidth="1"/>
    <col min="788" max="790" width="44.33203125" bestFit="1" customWidth="1"/>
    <col min="791" max="791" width="44.1640625" bestFit="1" customWidth="1"/>
    <col min="792" max="801" width="21.83203125" bestFit="1" customWidth="1"/>
    <col min="802" max="805" width="29.6640625" bestFit="1" customWidth="1"/>
    <col min="806" max="816" width="52" bestFit="1" customWidth="1"/>
    <col min="817" max="818" width="33.33203125" bestFit="1" customWidth="1"/>
    <col min="819" max="824" width="42.83203125" bestFit="1" customWidth="1"/>
    <col min="825" max="828" width="24.6640625" bestFit="1" customWidth="1"/>
    <col min="829" max="838" width="28.33203125" bestFit="1" customWidth="1"/>
    <col min="839" max="846" width="29.6640625" bestFit="1" customWidth="1"/>
    <col min="847" max="856" width="30.33203125" bestFit="1" customWidth="1"/>
    <col min="857" max="868" width="17" bestFit="1" customWidth="1"/>
    <col min="869" max="891" width="19.1640625" bestFit="1" customWidth="1"/>
    <col min="892" max="892" width="30.5" bestFit="1" customWidth="1"/>
    <col min="893" max="893" width="34.5" bestFit="1" customWidth="1"/>
    <col min="894" max="894" width="21.83203125" bestFit="1" customWidth="1"/>
    <col min="895" max="900" width="26.33203125" bestFit="1" customWidth="1"/>
    <col min="901" max="908" width="26.1640625" bestFit="1" customWidth="1"/>
    <col min="909" max="909" width="26.6640625" bestFit="1" customWidth="1"/>
    <col min="910" max="926" width="24.1640625" bestFit="1" customWidth="1"/>
    <col min="927" max="930" width="22" bestFit="1" customWidth="1"/>
    <col min="931" max="935" width="31.33203125" bestFit="1" customWidth="1"/>
    <col min="936" max="940" width="19.6640625" bestFit="1" customWidth="1"/>
    <col min="941" max="941" width="26.83203125" bestFit="1" customWidth="1"/>
    <col min="942" max="942" width="21.1640625" bestFit="1" customWidth="1"/>
    <col min="943" max="948" width="27.33203125" bestFit="1" customWidth="1"/>
    <col min="949" max="949" width="33.33203125" bestFit="1" customWidth="1"/>
    <col min="950" max="951" width="23.5" bestFit="1" customWidth="1"/>
    <col min="952" max="952" width="27.1640625" bestFit="1" customWidth="1"/>
    <col min="953" max="956" width="27.83203125" bestFit="1" customWidth="1"/>
    <col min="957" max="964" width="28.1640625" bestFit="1" customWidth="1"/>
    <col min="965" max="965" width="23" bestFit="1" customWidth="1"/>
    <col min="966" max="966" width="32.5" bestFit="1" customWidth="1"/>
    <col min="967" max="972" width="30.5" bestFit="1" customWidth="1"/>
    <col min="973" max="983" width="27.83203125" bestFit="1" customWidth="1"/>
    <col min="984" max="985" width="19.83203125" bestFit="1" customWidth="1"/>
    <col min="986" max="987" width="41.5" bestFit="1" customWidth="1"/>
    <col min="988" max="1002" width="30.1640625" bestFit="1" customWidth="1"/>
    <col min="1003" max="1004" width="45.1640625" bestFit="1" customWidth="1"/>
    <col min="1005" max="1011" width="28.5" bestFit="1" customWidth="1"/>
    <col min="1012" max="1015" width="30" bestFit="1" customWidth="1"/>
    <col min="1016" max="1016" width="30.83203125" bestFit="1" customWidth="1"/>
    <col min="1017" max="1026" width="31.1640625" bestFit="1" customWidth="1"/>
    <col min="1027" max="1040" width="37.83203125" bestFit="1" customWidth="1"/>
    <col min="1041" max="1043" width="24.83203125" bestFit="1" customWidth="1"/>
    <col min="1044" max="1058" width="45.33203125" bestFit="1" customWidth="1"/>
    <col min="1059" max="1061" width="30.83203125" bestFit="1" customWidth="1"/>
  </cols>
  <sheetData>
    <row r="1" spans="1:32" ht="31" x14ac:dyDescent="0.35">
      <c r="A1" s="1" t="s">
        <v>0</v>
      </c>
    </row>
    <row r="2" spans="1:32" ht="24" x14ac:dyDescent="0.3">
      <c r="A2" s="2" t="s">
        <v>1</v>
      </c>
    </row>
    <row r="3" spans="1:32" ht="19" x14ac:dyDescent="0.25">
      <c r="A3" s="15" t="s">
        <v>2</v>
      </c>
      <c r="B3" s="17">
        <v>45251</v>
      </c>
      <c r="C3" s="18"/>
      <c r="D3" s="18"/>
    </row>
    <row r="6" spans="1:32" ht="29" x14ac:dyDescent="0.35">
      <c r="A6" s="16" t="s">
        <v>3</v>
      </c>
    </row>
    <row r="8" spans="1:32" x14ac:dyDescent="0.2">
      <c r="A8" s="11" t="s">
        <v>232</v>
      </c>
      <c r="B8" t="s">
        <v>46</v>
      </c>
    </row>
    <row r="10" spans="1:32" x14ac:dyDescent="0.2">
      <c r="A10" s="11" t="s">
        <v>4</v>
      </c>
      <c r="B10" s="11" t="s">
        <v>1272</v>
      </c>
    </row>
    <row r="11" spans="1:32" x14ac:dyDescent="0.2">
      <c r="A11" s="11" t="s">
        <v>1273</v>
      </c>
      <c r="B11">
        <v>1993</v>
      </c>
      <c r="C11">
        <v>1994</v>
      </c>
      <c r="D11">
        <v>1995</v>
      </c>
      <c r="E11">
        <v>1996</v>
      </c>
      <c r="F11">
        <v>1998</v>
      </c>
      <c r="G11">
        <v>1999</v>
      </c>
      <c r="H11">
        <v>2000</v>
      </c>
      <c r="I11">
        <v>2001</v>
      </c>
      <c r="J11">
        <v>2002</v>
      </c>
      <c r="K11">
        <v>2003</v>
      </c>
      <c r="L11">
        <v>2004</v>
      </c>
      <c r="M11">
        <v>2005</v>
      </c>
      <c r="N11">
        <v>2006</v>
      </c>
      <c r="O11">
        <v>2007</v>
      </c>
      <c r="P11">
        <v>2008</v>
      </c>
      <c r="Q11">
        <v>2009</v>
      </c>
      <c r="R11">
        <v>2010</v>
      </c>
      <c r="S11">
        <v>2011</v>
      </c>
      <c r="T11">
        <v>2012</v>
      </c>
      <c r="U11">
        <v>2013</v>
      </c>
      <c r="V11">
        <v>2014</v>
      </c>
      <c r="W11">
        <v>2015</v>
      </c>
      <c r="X11">
        <v>2016</v>
      </c>
      <c r="Y11">
        <v>2017</v>
      </c>
      <c r="Z11">
        <v>2018</v>
      </c>
      <c r="AA11">
        <v>2019</v>
      </c>
      <c r="AB11">
        <v>2020</v>
      </c>
      <c r="AC11">
        <v>2021</v>
      </c>
      <c r="AD11">
        <v>2022</v>
      </c>
      <c r="AE11" t="s">
        <v>7</v>
      </c>
      <c r="AF11" s="13" t="s">
        <v>8</v>
      </c>
    </row>
    <row r="12" spans="1:32" x14ac:dyDescent="0.2">
      <c r="A12" s="12" t="s">
        <v>9</v>
      </c>
      <c r="B12" s="14"/>
      <c r="C12" s="14"/>
      <c r="D12" s="14"/>
      <c r="E12" s="14"/>
      <c r="F12" s="14"/>
      <c r="G12" s="14"/>
      <c r="H12" s="14"/>
      <c r="I12" s="14"/>
      <c r="J12" s="14">
        <v>1500</v>
      </c>
      <c r="K12" s="14"/>
      <c r="L12" s="14">
        <v>1750</v>
      </c>
      <c r="M12" s="14">
        <v>2500</v>
      </c>
      <c r="N12" s="14">
        <v>10200</v>
      </c>
      <c r="O12" s="14">
        <v>3000</v>
      </c>
      <c r="P12" s="14">
        <v>500</v>
      </c>
      <c r="Q12" s="14">
        <v>14700</v>
      </c>
      <c r="R12" s="14">
        <v>526100</v>
      </c>
      <c r="S12" s="14">
        <v>110700</v>
      </c>
      <c r="T12" s="14">
        <v>368050</v>
      </c>
      <c r="U12" s="14">
        <v>295950</v>
      </c>
      <c r="V12" s="14">
        <v>504549.28</v>
      </c>
      <c r="W12" s="14">
        <v>351582.05</v>
      </c>
      <c r="X12" s="14">
        <v>64000</v>
      </c>
      <c r="Y12" s="14">
        <v>5749800</v>
      </c>
      <c r="Z12" s="14">
        <v>7539300</v>
      </c>
      <c r="AA12" s="14">
        <v>7246121</v>
      </c>
      <c r="AB12" s="14">
        <v>8304550</v>
      </c>
      <c r="AC12" s="14">
        <v>9034775</v>
      </c>
      <c r="AD12" s="14">
        <v>8692400</v>
      </c>
      <c r="AE12" s="14">
        <v>48822027.329999998</v>
      </c>
      <c r="AF12" t="str">
        <f>IF(VLOOKUP(A12,Resources!A:B,2,FALSE)=0,"",VLOOKUP(A12,Resources!A:B,2,FALSE))</f>
        <v>http://desmogblog.com/who-donors-trust</v>
      </c>
    </row>
    <row r="13" spans="1:32" x14ac:dyDescent="0.2">
      <c r="A13" s="12" t="s">
        <v>10</v>
      </c>
      <c r="B13" s="14"/>
      <c r="C13" s="14"/>
      <c r="D13" s="14"/>
      <c r="E13" s="14"/>
      <c r="F13" s="14"/>
      <c r="G13" s="14"/>
      <c r="H13" s="14"/>
      <c r="I13" s="14"/>
      <c r="J13" s="14">
        <v>1000</v>
      </c>
      <c r="K13" s="14">
        <v>1000</v>
      </c>
      <c r="L13" s="14">
        <v>1000</v>
      </c>
      <c r="M13" s="14">
        <v>76000</v>
      </c>
      <c r="N13" s="14"/>
      <c r="O13" s="14">
        <v>1522600</v>
      </c>
      <c r="P13" s="14">
        <v>1488750</v>
      </c>
      <c r="Q13" s="14">
        <v>2570047</v>
      </c>
      <c r="R13" s="14">
        <v>1753000</v>
      </c>
      <c r="S13" s="14">
        <v>1973204</v>
      </c>
      <c r="T13" s="14">
        <v>2925413</v>
      </c>
      <c r="U13" s="14">
        <v>2516010</v>
      </c>
      <c r="V13" s="14">
        <v>3088100</v>
      </c>
      <c r="W13" s="14">
        <v>3996860</v>
      </c>
      <c r="X13" s="14">
        <v>5201300</v>
      </c>
      <c r="Y13" s="14">
        <v>40000</v>
      </c>
      <c r="Z13" s="14"/>
      <c r="AA13" s="14"/>
      <c r="AB13" s="14">
        <v>50000</v>
      </c>
      <c r="AC13" s="14"/>
      <c r="AD13" s="14"/>
      <c r="AE13" s="14">
        <v>27204284</v>
      </c>
      <c r="AF13" t="str">
        <f>IF(VLOOKUP(A13,Resources!A:B,2,FALSE)=0,"",VLOOKUP(A13,Resources!A:B,2,FALSE))</f>
        <v>https://www.desmogblog.com/donors-capital-fund</v>
      </c>
    </row>
    <row r="14" spans="1:32" x14ac:dyDescent="0.2">
      <c r="A14" s="12" t="s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>
        <v>15000</v>
      </c>
      <c r="M14" s="14"/>
      <c r="N14" s="14">
        <v>248500</v>
      </c>
      <c r="O14" s="14">
        <v>355000</v>
      </c>
      <c r="P14" s="14">
        <v>360000</v>
      </c>
      <c r="Q14" s="14">
        <v>341000</v>
      </c>
      <c r="R14" s="14">
        <v>371500</v>
      </c>
      <c r="S14" s="14">
        <v>464000</v>
      </c>
      <c r="T14" s="14">
        <v>547000</v>
      </c>
      <c r="U14" s="14">
        <v>632000</v>
      </c>
      <c r="V14" s="14">
        <v>372500</v>
      </c>
      <c r="W14" s="14">
        <v>966850</v>
      </c>
      <c r="X14" s="14">
        <v>892375</v>
      </c>
      <c r="Y14" s="14">
        <v>894900</v>
      </c>
      <c r="Z14" s="14">
        <v>777100</v>
      </c>
      <c r="AA14" s="14">
        <v>1008768</v>
      </c>
      <c r="AB14" s="14">
        <v>783000</v>
      </c>
      <c r="AC14" s="14">
        <v>989650</v>
      </c>
      <c r="AD14" s="14"/>
      <c r="AE14" s="14">
        <v>10019143</v>
      </c>
      <c r="AF14" t="str">
        <f>IF(VLOOKUP(A14,Resources!A:B,2,FALSE)=0,"",VLOOKUP(A14,Resources!A:B,2,FALSE))</f>
        <v>http://www.sourcewatch.org/index.php/Searle_Freedom_Trust</v>
      </c>
    </row>
    <row r="15" spans="1:32" x14ac:dyDescent="0.2">
      <c r="A15" s="12" t="s">
        <v>12</v>
      </c>
      <c r="B15" s="14"/>
      <c r="C15" s="14"/>
      <c r="D15" s="14"/>
      <c r="E15" s="14"/>
      <c r="F15" s="14">
        <v>65000</v>
      </c>
      <c r="G15" s="14">
        <v>125000</v>
      </c>
      <c r="H15" s="14">
        <v>12500</v>
      </c>
      <c r="I15" s="14">
        <v>62500</v>
      </c>
      <c r="J15" s="14">
        <v>75000</v>
      </c>
      <c r="K15" s="14">
        <v>80000</v>
      </c>
      <c r="L15" s="14">
        <v>65000</v>
      </c>
      <c r="M15" s="14">
        <v>65000</v>
      </c>
      <c r="N15" s="14">
        <v>90000</v>
      </c>
      <c r="O15" s="14">
        <v>65000</v>
      </c>
      <c r="P15" s="14">
        <v>65000</v>
      </c>
      <c r="Q15" s="14">
        <v>65000</v>
      </c>
      <c r="R15" s="14">
        <v>70000</v>
      </c>
      <c r="S15" s="14">
        <v>100000</v>
      </c>
      <c r="T15" s="14">
        <v>102000</v>
      </c>
      <c r="U15" s="14">
        <v>125000</v>
      </c>
      <c r="V15" s="14">
        <v>125000</v>
      </c>
      <c r="W15" s="14">
        <v>125000</v>
      </c>
      <c r="X15" s="14"/>
      <c r="Y15" s="14"/>
      <c r="Z15" s="14">
        <v>125000</v>
      </c>
      <c r="AA15" s="14">
        <v>125000</v>
      </c>
      <c r="AB15" s="14">
        <v>150000</v>
      </c>
      <c r="AC15" s="14">
        <v>3700000</v>
      </c>
      <c r="AD15" s="14">
        <v>4000000</v>
      </c>
      <c r="AE15" s="14">
        <v>9582000</v>
      </c>
      <c r="AF15" t="str">
        <f>IF(VLOOKUP(A15,Resources!A:B,2,FALSE)=0,"",VLOOKUP(A15,Resources!A:B,2,FALSE))</f>
        <v>http://www.sourcewatch.org/index.php/Roe_Foundation</v>
      </c>
    </row>
    <row r="16" spans="1:32" x14ac:dyDescent="0.2">
      <c r="A16" s="12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>
        <v>135000</v>
      </c>
      <c r="W16" s="14"/>
      <c r="X16" s="14">
        <v>25000</v>
      </c>
      <c r="Y16" s="14">
        <v>119935</v>
      </c>
      <c r="Z16" s="14">
        <v>345065</v>
      </c>
      <c r="AA16" s="14">
        <v>1100000</v>
      </c>
      <c r="AB16" s="14">
        <v>1100000</v>
      </c>
      <c r="AC16" s="14">
        <v>1200000</v>
      </c>
      <c r="AD16" s="14"/>
      <c r="AE16" s="14">
        <v>4025000</v>
      </c>
      <c r="AF16" t="str">
        <f>IF(VLOOKUP(A16,Resources!A:B,2,FALSE)=0,"",VLOOKUP(A16,Resources!A:B,2,FALSE))</f>
        <v>https://www.sourcewatch.org/index.php/Walton_Family_Foundation</v>
      </c>
    </row>
    <row r="17" spans="1:32" x14ac:dyDescent="0.2">
      <c r="A17" s="12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>
        <v>200000</v>
      </c>
      <c r="Y17" s="14">
        <v>220000</v>
      </c>
      <c r="Z17" s="14">
        <v>420000</v>
      </c>
      <c r="AA17" s="14">
        <v>450000</v>
      </c>
      <c r="AB17" s="14">
        <v>450000</v>
      </c>
      <c r="AC17" s="14">
        <v>475000</v>
      </c>
      <c r="AD17" s="14"/>
      <c r="AE17" s="14">
        <v>2215000</v>
      </c>
      <c r="AF17" t="str">
        <f>IF(VLOOKUP(A17,Resources!A:B,2,FALSE)=0,"",VLOOKUP(A17,Resources!A:B,2,FALSE))</f>
        <v>https://www.desmogblog.com/scaife-family-foundations</v>
      </c>
    </row>
    <row r="18" spans="1:32" x14ac:dyDescent="0.2">
      <c r="A18" s="12" t="s">
        <v>15</v>
      </c>
      <c r="B18" s="14">
        <v>25000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40000</v>
      </c>
      <c r="N18" s="14"/>
      <c r="O18" s="14">
        <v>15000</v>
      </c>
      <c r="P18" s="14"/>
      <c r="Q18" s="14">
        <v>25000</v>
      </c>
      <c r="R18" s="14">
        <v>30000</v>
      </c>
      <c r="S18" s="14">
        <v>5000</v>
      </c>
      <c r="T18" s="14">
        <v>40000</v>
      </c>
      <c r="U18" s="14">
        <v>35000</v>
      </c>
      <c r="V18" s="14">
        <v>45000</v>
      </c>
      <c r="W18" s="14">
        <v>50000</v>
      </c>
      <c r="X18" s="14">
        <v>60000</v>
      </c>
      <c r="Y18" s="14">
        <v>100000</v>
      </c>
      <c r="Z18" s="14">
        <v>725000</v>
      </c>
      <c r="AA18" s="14">
        <v>600000</v>
      </c>
      <c r="AB18" s="14">
        <v>150000</v>
      </c>
      <c r="AC18" s="14">
        <v>175000</v>
      </c>
      <c r="AD18" s="14"/>
      <c r="AE18" s="14">
        <v>2120000</v>
      </c>
      <c r="AF18" t="str">
        <f>IF(VLOOKUP(A18,Resources!A:B,2,FALSE)=0,"",VLOOKUP(A18,Resources!A:B,2,FALSE))</f>
        <v>http://www.sourcewatch.org/index.php/Lynde_and_Harry_Bradley_Foundation</v>
      </c>
    </row>
    <row r="19" spans="1:32" x14ac:dyDescent="0.2">
      <c r="A19" s="12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>
        <v>75000</v>
      </c>
      <c r="Y19" s="14">
        <v>368600</v>
      </c>
      <c r="Z19" s="14">
        <v>250000</v>
      </c>
      <c r="AA19" s="14">
        <v>350000</v>
      </c>
      <c r="AB19" s="14">
        <v>300000</v>
      </c>
      <c r="AC19" s="14">
        <v>300000</v>
      </c>
      <c r="AD19" s="14"/>
      <c r="AE19" s="14">
        <v>1643600</v>
      </c>
      <c r="AF19" t="str">
        <f>IF(VLOOKUP(A19,Resources!A:B,2,FALSE)=0,"",VLOOKUP(A19,Resources!A:B,2,FALSE))</f>
        <v>https://www.sourcewatch.org/index.php/Thomas_W._Smith_Foundation</v>
      </c>
    </row>
    <row r="20" spans="1:32" x14ac:dyDescent="0.2">
      <c r="A20" s="12" t="s"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>
        <v>1526125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>
        <v>1526125</v>
      </c>
      <c r="AF20" t="str">
        <f>IF(VLOOKUP(A20,Resources!A:B,2,FALSE)=0,"",VLOOKUP(A20,Resources!A:B,2,FALSE))</f>
        <v>https://www.desmogblog.com/thirteen-foundation</v>
      </c>
    </row>
    <row r="21" spans="1:32" x14ac:dyDescent="0.2">
      <c r="A21" s="12" t="s">
        <v>18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>
        <v>139880</v>
      </c>
      <c r="AA21" s="14">
        <v>188675</v>
      </c>
      <c r="AB21" s="14">
        <v>272605</v>
      </c>
      <c r="AC21" s="14">
        <v>189950</v>
      </c>
      <c r="AD21" s="14">
        <v>131750</v>
      </c>
      <c r="AE21" s="14">
        <v>922860</v>
      </c>
      <c r="AF21" t="str">
        <f>IF(VLOOKUP(A21,Resources!A:B,2,FALSE)=0,"",VLOOKUP(A21,Resources!A:B,2,FALSE))</f>
        <v/>
      </c>
    </row>
    <row r="22" spans="1:32" x14ac:dyDescent="0.2">
      <c r="A22" s="12" t="s">
        <v>19</v>
      </c>
      <c r="B22" s="14"/>
      <c r="C22" s="14"/>
      <c r="D22" s="14">
        <v>25000</v>
      </c>
      <c r="E22" s="14"/>
      <c r="F22" s="14"/>
      <c r="G22" s="14">
        <v>75000</v>
      </c>
      <c r="H22" s="14"/>
      <c r="I22" s="14"/>
      <c r="J22" s="14"/>
      <c r="K22" s="14">
        <v>50000</v>
      </c>
      <c r="L22" s="14">
        <v>75000</v>
      </c>
      <c r="M22" s="14"/>
      <c r="N22" s="14">
        <v>75000</v>
      </c>
      <c r="O22" s="14">
        <v>75000</v>
      </c>
      <c r="P22" s="14">
        <v>75000</v>
      </c>
      <c r="Q22" s="14">
        <v>75000</v>
      </c>
      <c r="R22" s="14">
        <v>75000</v>
      </c>
      <c r="S22" s="14">
        <v>75000</v>
      </c>
      <c r="T22" s="14">
        <v>100000</v>
      </c>
      <c r="U22" s="14">
        <v>100000</v>
      </c>
      <c r="V22" s="14"/>
      <c r="W22" s="14"/>
      <c r="X22" s="14"/>
      <c r="Y22" s="14"/>
      <c r="Z22" s="14"/>
      <c r="AA22" s="14"/>
      <c r="AB22" s="14"/>
      <c r="AC22" s="14"/>
      <c r="AD22" s="14"/>
      <c r="AE22" s="14">
        <v>875000</v>
      </c>
      <c r="AF22" t="str">
        <f>IF(VLOOKUP(A22,Resources!A:B,2,FALSE)=0,"",VLOOKUP(A22,Resources!A:B,2,FALSE))</f>
        <v>http://www.sourcewatch.org/index.php/JM_Foundation</v>
      </c>
    </row>
    <row r="23" spans="1:32" x14ac:dyDescent="0.2">
      <c r="A23" s="12" t="s">
        <v>20</v>
      </c>
      <c r="B23" s="14"/>
      <c r="C23" s="14"/>
      <c r="D23" s="14"/>
      <c r="E23" s="14"/>
      <c r="F23" s="14"/>
      <c r="G23" s="14"/>
      <c r="H23" s="14"/>
      <c r="I23" s="14">
        <v>30000</v>
      </c>
      <c r="J23" s="14">
        <v>50000</v>
      </c>
      <c r="K23" s="14">
        <v>50000</v>
      </c>
      <c r="L23" s="14">
        <v>50000</v>
      </c>
      <c r="M23" s="14">
        <v>50000</v>
      </c>
      <c r="N23" s="14">
        <v>75000</v>
      </c>
      <c r="O23" s="14">
        <v>75000</v>
      </c>
      <c r="P23" s="14">
        <v>75000</v>
      </c>
      <c r="Q23" s="14">
        <v>75000</v>
      </c>
      <c r="R23" s="14">
        <v>100000</v>
      </c>
      <c r="S23" s="14">
        <v>100000</v>
      </c>
      <c r="T23" s="14">
        <v>75000</v>
      </c>
      <c r="U23" s="14">
        <v>50000</v>
      </c>
      <c r="V23" s="14"/>
      <c r="W23" s="14"/>
      <c r="X23" s="14"/>
      <c r="Y23" s="14"/>
      <c r="Z23" s="14"/>
      <c r="AA23" s="14"/>
      <c r="AB23" s="14"/>
      <c r="AC23" s="14"/>
      <c r="AD23" s="14"/>
      <c r="AE23" s="14">
        <v>855000</v>
      </c>
      <c r="AF23" t="str">
        <f>IF(VLOOKUP(A23,Resources!A:B,2,FALSE)=0,"",VLOOKUP(A23,Resources!A:B,2,FALSE))</f>
        <v>http://www.sourcewatch.org/index.php/Jaquelin_Hume_Foundation</v>
      </c>
    </row>
    <row r="24" spans="1:32" x14ac:dyDescent="0.2">
      <c r="A24" s="12" t="s">
        <v>21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v>50000</v>
      </c>
      <c r="U24" s="14"/>
      <c r="V24" s="14">
        <v>80000</v>
      </c>
      <c r="W24" s="14"/>
      <c r="X24" s="14">
        <v>80000</v>
      </c>
      <c r="Y24" s="14">
        <v>80000</v>
      </c>
      <c r="Z24" s="14">
        <v>80000</v>
      </c>
      <c r="AA24" s="14">
        <v>80000</v>
      </c>
      <c r="AB24" s="14">
        <v>80000</v>
      </c>
      <c r="AC24" s="14">
        <v>80000</v>
      </c>
      <c r="AD24" s="14">
        <v>80000</v>
      </c>
      <c r="AE24" s="14">
        <v>690000</v>
      </c>
      <c r="AF24" t="str">
        <f>IF(VLOOKUP(A24,Resources!A:B,2,FALSE)=0,"",VLOOKUP(A24,Resources!A:B,2,FALSE))</f>
        <v>https://www.sourcewatch.org/index.php/Adolph_Coors_Foundation</v>
      </c>
    </row>
    <row r="25" spans="1:32" x14ac:dyDescent="0.2">
      <c r="A25" s="12" t="s">
        <v>22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>
        <v>2000</v>
      </c>
      <c r="S25" s="14">
        <v>5000</v>
      </c>
      <c r="T25" s="14"/>
      <c r="U25" s="14">
        <v>5000</v>
      </c>
      <c r="V25" s="14">
        <v>8000</v>
      </c>
      <c r="W25" s="14">
        <v>100000</v>
      </c>
      <c r="X25" s="14"/>
      <c r="Y25" s="14">
        <v>150000</v>
      </c>
      <c r="Z25" s="14">
        <v>150000</v>
      </c>
      <c r="AA25" s="14">
        <v>100000</v>
      </c>
      <c r="AB25" s="14">
        <v>100000</v>
      </c>
      <c r="AC25" s="14"/>
      <c r="AD25" s="14"/>
      <c r="AE25" s="14">
        <v>620000</v>
      </c>
      <c r="AF25" t="str">
        <f>IF(VLOOKUP(A25,Resources!A:B,2,FALSE)=0,"",VLOOKUP(A25,Resources!A:B,2,FALSE))</f>
        <v>https://www.sourcewatch.org/index.php/Diana_Davis_Spencer_Foundation</v>
      </c>
    </row>
    <row r="26" spans="1:32" x14ac:dyDescent="0.2">
      <c r="A26" s="12" t="s"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>
        <v>2500</v>
      </c>
      <c r="L26" s="14">
        <v>2500</v>
      </c>
      <c r="M26" s="14">
        <v>5000</v>
      </c>
      <c r="N26" s="14">
        <v>5000</v>
      </c>
      <c r="O26" s="14">
        <v>5000</v>
      </c>
      <c r="P26" s="14">
        <v>5000</v>
      </c>
      <c r="Q26" s="14">
        <v>2500</v>
      </c>
      <c r="R26" s="14">
        <v>5000</v>
      </c>
      <c r="S26" s="14">
        <v>5000</v>
      </c>
      <c r="T26" s="14">
        <v>15000</v>
      </c>
      <c r="U26" s="14">
        <v>125000</v>
      </c>
      <c r="V26" s="14">
        <v>115000</v>
      </c>
      <c r="W26" s="14">
        <v>50000</v>
      </c>
      <c r="X26" s="14">
        <v>50000</v>
      </c>
      <c r="Y26" s="14">
        <v>50000</v>
      </c>
      <c r="Z26" s="14">
        <v>25000</v>
      </c>
      <c r="AA26" s="14">
        <v>25000</v>
      </c>
      <c r="AB26" s="14"/>
      <c r="AC26" s="14"/>
      <c r="AD26" s="14">
        <v>50000</v>
      </c>
      <c r="AE26" s="14">
        <v>542500</v>
      </c>
      <c r="AF26" t="str">
        <f>IF(VLOOKUP(A26,Resources!A:B,2,FALSE)=0,"",VLOOKUP(A26,Resources!A:B,2,FALSE))</f>
        <v/>
      </c>
    </row>
    <row r="27" spans="1:32" x14ac:dyDescent="0.2">
      <c r="A27" s="12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>
        <v>25000</v>
      </c>
      <c r="U27" s="14">
        <v>25000</v>
      </c>
      <c r="V27" s="14">
        <v>60000</v>
      </c>
      <c r="W27" s="14">
        <v>60000</v>
      </c>
      <c r="X27" s="14">
        <v>60000</v>
      </c>
      <c r="Y27" s="14">
        <v>30000</v>
      </c>
      <c r="Z27" s="14">
        <v>50000</v>
      </c>
      <c r="AA27" s="14">
        <v>60000</v>
      </c>
      <c r="AB27" s="14">
        <v>70000</v>
      </c>
      <c r="AC27" s="14">
        <v>70000</v>
      </c>
      <c r="AD27" s="14"/>
      <c r="AE27" s="14">
        <v>510000</v>
      </c>
      <c r="AF27" t="str">
        <f>IF(VLOOKUP(A27,Resources!A:B,2,FALSE)=0,"",VLOOKUP(A27,Resources!A:B,2,FALSE))</f>
        <v/>
      </c>
    </row>
    <row r="28" spans="1:32" x14ac:dyDescent="0.2">
      <c r="A28" s="12" t="s">
        <v>25</v>
      </c>
      <c r="B28" s="14"/>
      <c r="C28" s="14"/>
      <c r="D28" s="14"/>
      <c r="E28" s="14"/>
      <c r="F28" s="14"/>
      <c r="G28" s="14"/>
      <c r="H28" s="14"/>
      <c r="I28" s="14">
        <v>5000</v>
      </c>
      <c r="J28" s="14">
        <v>5000</v>
      </c>
      <c r="K28" s="14"/>
      <c r="L28" s="14">
        <v>5000</v>
      </c>
      <c r="M28" s="14"/>
      <c r="N28" s="14">
        <v>5000</v>
      </c>
      <c r="O28" s="14">
        <v>5000</v>
      </c>
      <c r="P28" s="14"/>
      <c r="Q28" s="14">
        <v>5000</v>
      </c>
      <c r="R28" s="14">
        <v>5000</v>
      </c>
      <c r="S28" s="14">
        <v>10000</v>
      </c>
      <c r="T28" s="14"/>
      <c r="U28" s="14">
        <v>50000</v>
      </c>
      <c r="V28" s="14">
        <v>50000</v>
      </c>
      <c r="W28" s="14">
        <v>50000</v>
      </c>
      <c r="X28" s="14">
        <v>50000</v>
      </c>
      <c r="Y28" s="14">
        <v>50000</v>
      </c>
      <c r="Z28" s="14">
        <v>50000</v>
      </c>
      <c r="AA28" s="14">
        <v>50000</v>
      </c>
      <c r="AB28" s="14">
        <v>50000</v>
      </c>
      <c r="AC28" s="14">
        <v>50000</v>
      </c>
      <c r="AD28" s="14"/>
      <c r="AE28" s="14">
        <v>495000</v>
      </c>
      <c r="AF28" t="str">
        <f>IF(VLOOKUP(A28,Resources!A:B,2,FALSE)=0,"",VLOOKUP(A28,Resources!A:B,2,FALSE))</f>
        <v/>
      </c>
    </row>
    <row r="29" spans="1:32" x14ac:dyDescent="0.2">
      <c r="A29" s="12" t="s">
        <v>26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>
        <v>25000</v>
      </c>
      <c r="S29" s="14">
        <v>25000</v>
      </c>
      <c r="T29" s="14">
        <v>25000</v>
      </c>
      <c r="U29" s="14">
        <v>26000</v>
      </c>
      <c r="V29" s="14"/>
      <c r="W29" s="14"/>
      <c r="X29" s="14"/>
      <c r="Y29" s="14"/>
      <c r="Z29" s="14"/>
      <c r="AA29" s="14"/>
      <c r="AB29" s="14">
        <v>60000</v>
      </c>
      <c r="AC29" s="14">
        <v>60000</v>
      </c>
      <c r="AD29" s="14">
        <v>270000</v>
      </c>
      <c r="AE29" s="14">
        <v>491000</v>
      </c>
      <c r="AF29" t="str">
        <f>IF(VLOOKUP(A29,Resources!A:B,2,FALSE)=0,"",VLOOKUP(A29,Resources!A:B,2,FALSE))</f>
        <v>http://www.sourcewatch.org/index.php/John_William_Pope_Foundation</v>
      </c>
    </row>
    <row r="30" spans="1:32" x14ac:dyDescent="0.2">
      <c r="A30" s="12" t="s">
        <v>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>
        <v>40000</v>
      </c>
      <c r="Z30" s="14"/>
      <c r="AA30" s="14">
        <v>60000</v>
      </c>
      <c r="AB30" s="14">
        <v>70500</v>
      </c>
      <c r="AC30" s="14">
        <v>101500</v>
      </c>
      <c r="AD30" s="14">
        <v>103000</v>
      </c>
      <c r="AE30" s="14">
        <v>375000</v>
      </c>
      <c r="AF30" t="str">
        <f>IF(VLOOKUP(A30,Resources!A:B,2,FALSE)=0,"",VLOOKUP(A30,Resources!A:B,2,FALSE))</f>
        <v/>
      </c>
    </row>
    <row r="31" spans="1:32" x14ac:dyDescent="0.2">
      <c r="A31" s="12" t="s">
        <v>28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>
        <v>125000</v>
      </c>
      <c r="AA31" s="14">
        <v>125000</v>
      </c>
      <c r="AB31" s="14">
        <v>125000</v>
      </c>
      <c r="AC31" s="14"/>
      <c r="AD31" s="14"/>
      <c r="AE31" s="14">
        <v>375000</v>
      </c>
      <c r="AF31" t="str">
        <f>IF(VLOOKUP(A31,Resources!A:B,2,FALSE)=0,"",VLOOKUP(A31,Resources!A:B,2,FALSE))</f>
        <v/>
      </c>
    </row>
    <row r="32" spans="1:32" x14ac:dyDescent="0.2">
      <c r="A32" s="12" t="s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1000</v>
      </c>
      <c r="S32" s="14"/>
      <c r="T32" s="14">
        <v>100000</v>
      </c>
      <c r="U32" s="14"/>
      <c r="V32" s="14"/>
      <c r="W32" s="14"/>
      <c r="X32" s="14">
        <v>25000</v>
      </c>
      <c r="Y32" s="14"/>
      <c r="Z32" s="14">
        <v>40000</v>
      </c>
      <c r="AA32" s="14">
        <v>50000</v>
      </c>
      <c r="AB32" s="14">
        <v>50000</v>
      </c>
      <c r="AC32" s="14">
        <v>100000</v>
      </c>
      <c r="AD32" s="14"/>
      <c r="AE32" s="14">
        <v>366000</v>
      </c>
      <c r="AF32" t="str">
        <f>IF(VLOOKUP(A32,Resources!A:B,2,FALSE)=0,"",VLOOKUP(A32,Resources!A:B,2,FALSE))</f>
        <v>https://www.desmogblog.com/dunn-s-foundation-advancement-right-thinking</v>
      </c>
    </row>
    <row r="33" spans="1:32" x14ac:dyDescent="0.2">
      <c r="A33" s="12" t="s">
        <v>30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>
        <v>10000</v>
      </c>
      <c r="U33" s="14">
        <v>25000</v>
      </c>
      <c r="V33" s="14">
        <v>40000</v>
      </c>
      <c r="W33" s="14">
        <v>40000</v>
      </c>
      <c r="X33" s="14">
        <v>50000</v>
      </c>
      <c r="Y33" s="14">
        <v>50000</v>
      </c>
      <c r="Z33" s="14">
        <v>50000</v>
      </c>
      <c r="AA33" s="14">
        <v>100000</v>
      </c>
      <c r="AB33" s="14"/>
      <c r="AC33" s="14"/>
      <c r="AD33" s="14"/>
      <c r="AE33" s="14">
        <v>365000</v>
      </c>
      <c r="AF33" t="str">
        <f>IF(VLOOKUP(A33,Resources!A:B,2,FALSE)=0,"",VLOOKUP(A33,Resources!A:B,2,FALSE))</f>
        <v/>
      </c>
    </row>
    <row r="34" spans="1:32" x14ac:dyDescent="0.2">
      <c r="A34" s="12" t="s">
        <v>31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>
        <v>300</v>
      </c>
      <c r="Q34" s="14"/>
      <c r="R34" s="14">
        <v>100</v>
      </c>
      <c r="S34" s="14"/>
      <c r="T34" s="14">
        <v>3500</v>
      </c>
      <c r="U34" s="14"/>
      <c r="V34" s="14"/>
      <c r="W34" s="14">
        <v>300</v>
      </c>
      <c r="X34" s="14">
        <v>15750</v>
      </c>
      <c r="Y34" s="14">
        <v>18700</v>
      </c>
      <c r="Z34" s="14">
        <v>131050</v>
      </c>
      <c r="AA34" s="14">
        <v>67100</v>
      </c>
      <c r="AB34" s="14">
        <v>39500</v>
      </c>
      <c r="AC34" s="14">
        <v>77350</v>
      </c>
      <c r="AD34" s="14"/>
      <c r="AE34" s="14">
        <v>353650</v>
      </c>
      <c r="AF34" t="str">
        <f>IF(VLOOKUP(A34,Resources!A:B,2,FALSE)=0,"",VLOOKUP(A34,Resources!A:B,2,FALSE))</f>
        <v>https://www.sourcewatch.org/index.php/National_Christian_Foundation</v>
      </c>
    </row>
    <row r="35" spans="1:32" x14ac:dyDescent="0.2">
      <c r="A35" s="12" t="s">
        <v>32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>
        <v>100000</v>
      </c>
      <c r="AA35" s="14">
        <v>50000</v>
      </c>
      <c r="AB35" s="14">
        <v>50000</v>
      </c>
      <c r="AC35" s="14">
        <v>150000</v>
      </c>
      <c r="AD35" s="14"/>
      <c r="AE35" s="14">
        <v>350000</v>
      </c>
      <c r="AF35" t="str">
        <f>IF(VLOOKUP(A35,Resources!A:B,2,FALSE)=0,"",VLOOKUP(A35,Resources!A:B,2,FALSE))</f>
        <v/>
      </c>
    </row>
    <row r="36" spans="1:32" x14ac:dyDescent="0.2">
      <c r="A36" s="12" t="s">
        <v>33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v>5000</v>
      </c>
      <c r="P36" s="14">
        <v>10000</v>
      </c>
      <c r="Q36" s="14">
        <v>5000</v>
      </c>
      <c r="R36" s="14">
        <v>15000</v>
      </c>
      <c r="S36" s="14">
        <v>10000</v>
      </c>
      <c r="T36" s="14">
        <v>10000</v>
      </c>
      <c r="U36" s="14">
        <v>10000</v>
      </c>
      <c r="V36" s="14">
        <v>30000</v>
      </c>
      <c r="W36" s="14">
        <v>35000</v>
      </c>
      <c r="X36" s="14">
        <v>35000</v>
      </c>
      <c r="Y36" s="14">
        <v>25000</v>
      </c>
      <c r="Z36" s="14">
        <v>30000</v>
      </c>
      <c r="AA36" s="14">
        <v>30000</v>
      </c>
      <c r="AB36" s="14">
        <v>35000</v>
      </c>
      <c r="AC36" s="14">
        <v>35000</v>
      </c>
      <c r="AD36" s="14"/>
      <c r="AE36" s="14">
        <v>320000</v>
      </c>
      <c r="AF36" t="str">
        <f>IF(VLOOKUP(A36,Resources!A:B,2,FALSE)=0,"",VLOOKUP(A36,Resources!A:B,2,FALSE))</f>
        <v/>
      </c>
    </row>
    <row r="37" spans="1:32" x14ac:dyDescent="0.2">
      <c r="A37" s="12" t="s">
        <v>34</v>
      </c>
      <c r="B37" s="14"/>
      <c r="C37" s="14"/>
      <c r="D37" s="14"/>
      <c r="E37" s="14"/>
      <c r="F37" s="14"/>
      <c r="G37" s="14"/>
      <c r="H37" s="14">
        <v>70000</v>
      </c>
      <c r="I37" s="14">
        <v>25000</v>
      </c>
      <c r="J37" s="14">
        <v>25000</v>
      </c>
      <c r="K37" s="14"/>
      <c r="L37" s="14"/>
      <c r="M37" s="14"/>
      <c r="N37" s="14">
        <v>15000</v>
      </c>
      <c r="O37" s="14">
        <v>10000</v>
      </c>
      <c r="P37" s="14">
        <v>10000</v>
      </c>
      <c r="Q37" s="14">
        <v>10000</v>
      </c>
      <c r="R37" s="14">
        <v>35000</v>
      </c>
      <c r="S37" s="14">
        <v>10000</v>
      </c>
      <c r="T37" s="14">
        <v>12500</v>
      </c>
      <c r="U37" s="14">
        <v>10000</v>
      </c>
      <c r="V37" s="14">
        <v>10000</v>
      </c>
      <c r="W37" s="14">
        <v>10000</v>
      </c>
      <c r="X37" s="14">
        <v>10000</v>
      </c>
      <c r="Y37" s="14"/>
      <c r="Z37" s="14">
        <v>10000</v>
      </c>
      <c r="AA37" s="14">
        <v>10000</v>
      </c>
      <c r="AB37" s="14">
        <v>10000</v>
      </c>
      <c r="AC37" s="14">
        <v>10000</v>
      </c>
      <c r="AD37" s="14"/>
      <c r="AE37" s="14">
        <v>302500</v>
      </c>
      <c r="AF37" t="str">
        <f>IF(VLOOKUP(A37,Resources!A:B,2,FALSE)=0,"",VLOOKUP(A37,Resources!A:B,2,FALSE))</f>
        <v>http://www.sourcewatch.org/index.php/Lovett_%26_Ruth_Peters_Foundation</v>
      </c>
    </row>
    <row r="38" spans="1:32" x14ac:dyDescent="0.2">
      <c r="A38" s="12" t="s">
        <v>35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>
        <v>150500</v>
      </c>
      <c r="AD38" s="14">
        <v>150500</v>
      </c>
      <c r="AE38" s="14">
        <v>301000</v>
      </c>
      <c r="AF38" t="str">
        <f>IF(VLOOKUP(A38,Resources!A:B,2,FALSE)=0,"",VLOOKUP(A38,Resources!A:B,2,FALSE))</f>
        <v/>
      </c>
    </row>
    <row r="39" spans="1:32" x14ac:dyDescent="0.2">
      <c r="A39" s="12" t="s">
        <v>36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>
        <v>6950</v>
      </c>
      <c r="X39" s="14">
        <v>35025</v>
      </c>
      <c r="Y39" s="14">
        <v>18175</v>
      </c>
      <c r="Z39" s="14">
        <v>20075</v>
      </c>
      <c r="AA39" s="14">
        <v>25525</v>
      </c>
      <c r="AB39" s="14">
        <v>37875</v>
      </c>
      <c r="AC39" s="14">
        <v>73250</v>
      </c>
      <c r="AD39" s="14">
        <v>79300</v>
      </c>
      <c r="AE39" s="14">
        <v>296175</v>
      </c>
      <c r="AF39" t="str">
        <f>IF(VLOOKUP(A39,Resources!A:B,2,FALSE)=0,"",VLOOKUP(A39,Resources!A:B,2,FALSE))</f>
        <v/>
      </c>
    </row>
    <row r="40" spans="1:32" x14ac:dyDescent="0.2">
      <c r="A40" s="12" t="s">
        <v>37</v>
      </c>
      <c r="B40" s="14"/>
      <c r="C40" s="14"/>
      <c r="D40" s="14"/>
      <c r="E40" s="14"/>
      <c r="F40" s="14"/>
      <c r="G40" s="14"/>
      <c r="H40" s="14">
        <v>1000</v>
      </c>
      <c r="I40" s="14">
        <v>1000</v>
      </c>
      <c r="J40" s="14">
        <v>1000</v>
      </c>
      <c r="K40" s="14">
        <v>2000</v>
      </c>
      <c r="L40" s="14">
        <v>2500</v>
      </c>
      <c r="M40" s="14">
        <v>12500</v>
      </c>
      <c r="N40" s="14">
        <v>5000</v>
      </c>
      <c r="O40" s="14"/>
      <c r="P40" s="14">
        <v>2500</v>
      </c>
      <c r="Q40" s="14"/>
      <c r="R40" s="14">
        <v>1000</v>
      </c>
      <c r="S40" s="14">
        <v>35000</v>
      </c>
      <c r="T40" s="14">
        <v>36305</v>
      </c>
      <c r="U40" s="14">
        <v>45000</v>
      </c>
      <c r="V40" s="14">
        <v>20000</v>
      </c>
      <c r="W40" s="14">
        <v>53643</v>
      </c>
      <c r="X40" s="14"/>
      <c r="Y40" s="14">
        <v>58000</v>
      </c>
      <c r="Z40" s="14"/>
      <c r="AA40" s="14"/>
      <c r="AB40" s="14"/>
      <c r="AC40" s="14"/>
      <c r="AD40" s="14"/>
      <c r="AE40" s="14">
        <v>276448</v>
      </c>
      <c r="AF40" t="str">
        <f>IF(VLOOKUP(A40,Resources!A:B,2,FALSE)=0,"",VLOOKUP(A40,Resources!A:B,2,FALSE))</f>
        <v>http://www.sourcewatch.org/index.php/Vernon_K._Krieble_Foundation</v>
      </c>
    </row>
    <row r="41" spans="1:32" x14ac:dyDescent="0.2">
      <c r="A41" s="12" t="s">
        <v>38</v>
      </c>
      <c r="B41" s="14"/>
      <c r="C41" s="14"/>
      <c r="D41" s="14"/>
      <c r="E41" s="14"/>
      <c r="F41" s="14"/>
      <c r="G41" s="14"/>
      <c r="H41" s="14">
        <v>10000</v>
      </c>
      <c r="I41" s="14">
        <v>10000</v>
      </c>
      <c r="J41" s="14">
        <v>10000</v>
      </c>
      <c r="K41" s="14">
        <v>10000</v>
      </c>
      <c r="L41" s="14">
        <v>10000</v>
      </c>
      <c r="M41" s="14"/>
      <c r="N41" s="14">
        <v>10000</v>
      </c>
      <c r="O41" s="14">
        <v>10000</v>
      </c>
      <c r="P41" s="14"/>
      <c r="Q41" s="14">
        <v>10000</v>
      </c>
      <c r="R41" s="14">
        <v>10000</v>
      </c>
      <c r="S41" s="14">
        <v>10000</v>
      </c>
      <c r="T41" s="14">
        <v>11000</v>
      </c>
      <c r="U41" s="14">
        <v>30000</v>
      </c>
      <c r="V41" s="14">
        <v>30000</v>
      </c>
      <c r="W41" s="14">
        <v>30000</v>
      </c>
      <c r="X41" s="14">
        <v>30000</v>
      </c>
      <c r="Y41" s="14"/>
      <c r="Z41" s="14"/>
      <c r="AA41" s="14"/>
      <c r="AB41" s="14"/>
      <c r="AC41" s="14"/>
      <c r="AD41" s="14"/>
      <c r="AE41" s="14">
        <v>231000</v>
      </c>
      <c r="AF41" t="str">
        <f>IF(VLOOKUP(A41,Resources!A:B,2,FALSE)=0,"",VLOOKUP(A41,Resources!A:B,2,FALSE))</f>
        <v/>
      </c>
    </row>
    <row r="42" spans="1:32" x14ac:dyDescent="0.2">
      <c r="A42" s="12" t="s">
        <v>39</v>
      </c>
      <c r="B42" s="14"/>
      <c r="C42" s="14"/>
      <c r="D42" s="14"/>
      <c r="E42" s="14"/>
      <c r="F42" s="14"/>
      <c r="G42" s="14"/>
      <c r="H42" s="14"/>
      <c r="I42" s="14">
        <v>15000</v>
      </c>
      <c r="J42" s="14">
        <v>15000</v>
      </c>
      <c r="K42" s="14">
        <v>15000</v>
      </c>
      <c r="L42" s="14">
        <v>15860</v>
      </c>
      <c r="M42" s="14">
        <v>15000</v>
      </c>
      <c r="N42" s="14">
        <v>15000</v>
      </c>
      <c r="O42" s="14"/>
      <c r="P42" s="14"/>
      <c r="Q42" s="14">
        <v>10000</v>
      </c>
      <c r="R42" s="14">
        <v>10000</v>
      </c>
      <c r="S42" s="14">
        <v>10000</v>
      </c>
      <c r="T42" s="14">
        <v>10000</v>
      </c>
      <c r="U42" s="14">
        <v>10000</v>
      </c>
      <c r="V42" s="14">
        <v>10000</v>
      </c>
      <c r="W42" s="14">
        <v>12000</v>
      </c>
      <c r="X42" s="14">
        <v>12000</v>
      </c>
      <c r="Y42" s="14">
        <v>12000</v>
      </c>
      <c r="Z42" s="14">
        <v>12000</v>
      </c>
      <c r="AA42" s="14">
        <v>12000</v>
      </c>
      <c r="AB42" s="14">
        <v>12000</v>
      </c>
      <c r="AC42" s="14">
        <v>5000</v>
      </c>
      <c r="AD42" s="14"/>
      <c r="AE42" s="14">
        <v>227860</v>
      </c>
      <c r="AF42" t="str">
        <f>IF(VLOOKUP(A42,Resources!A:B,2,FALSE)=0,"",VLOOKUP(A42,Resources!A:B,2,FALSE))</f>
        <v>http://www.sourcewatch.org/index.php/Chase_Foundation_of_Virginia</v>
      </c>
    </row>
    <row r="43" spans="1:32" x14ac:dyDescent="0.2">
      <c r="A43" s="12" t="s">
        <v>40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>
        <v>200000</v>
      </c>
      <c r="AE43" s="14">
        <v>200000</v>
      </c>
      <c r="AF43" t="str">
        <f>IF(VLOOKUP(A43,Resources!A:B,2,FALSE)=0,"",VLOOKUP(A43,Resources!A:B,2,FALSE))</f>
        <v/>
      </c>
    </row>
    <row r="44" spans="1:32" x14ac:dyDescent="0.2">
      <c r="A44" s="12" t="s">
        <v>41</v>
      </c>
      <c r="B44" s="14"/>
      <c r="C44" s="14"/>
      <c r="D44" s="14"/>
      <c r="E44" s="14"/>
      <c r="F44" s="14">
        <v>21000</v>
      </c>
      <c r="G44" s="14"/>
      <c r="H44" s="14"/>
      <c r="I44" s="14"/>
      <c r="J44" s="14"/>
      <c r="K44" s="14"/>
      <c r="L44" s="14"/>
      <c r="M44" s="14"/>
      <c r="N44" s="14"/>
      <c r="O44" s="14">
        <v>15000</v>
      </c>
      <c r="P44" s="14">
        <v>10000</v>
      </c>
      <c r="Q44" s="14"/>
      <c r="R44" s="14"/>
      <c r="S44" s="14">
        <v>7500</v>
      </c>
      <c r="T44" s="14"/>
      <c r="U44" s="14"/>
      <c r="V44" s="14">
        <v>8429</v>
      </c>
      <c r="W44" s="14">
        <v>20000</v>
      </c>
      <c r="X44" s="14">
        <v>40000</v>
      </c>
      <c r="Y44" s="14">
        <v>18000</v>
      </c>
      <c r="Z44" s="14"/>
      <c r="AA44" s="14">
        <v>30000</v>
      </c>
      <c r="AB44" s="14">
        <v>30000</v>
      </c>
      <c r="AC44" s="14"/>
      <c r="AD44" s="14"/>
      <c r="AE44" s="14">
        <v>199929</v>
      </c>
      <c r="AF44" t="str">
        <f>IF(VLOOKUP(A44,Resources!A:B,2,FALSE)=0,"",VLOOKUP(A44,Resources!A:B,2,FALSE))</f>
        <v>http://www.sourcewatch.org/index.php/William_H._Donner_Foundation</v>
      </c>
    </row>
    <row r="45" spans="1:32" x14ac:dyDescent="0.2">
      <c r="A45" s="12" t="s">
        <v>42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>
        <v>5000</v>
      </c>
      <c r="Q45" s="14">
        <v>15000</v>
      </c>
      <c r="R45" s="14">
        <v>15000</v>
      </c>
      <c r="S45" s="14">
        <v>20000</v>
      </c>
      <c r="T45" s="14">
        <v>20000</v>
      </c>
      <c r="U45" s="14">
        <v>20000</v>
      </c>
      <c r="V45" s="14">
        <v>20000</v>
      </c>
      <c r="W45" s="14">
        <v>20000</v>
      </c>
      <c r="X45" s="14">
        <v>20000</v>
      </c>
      <c r="Y45" s="14"/>
      <c r="Z45" s="14">
        <v>20000</v>
      </c>
      <c r="AA45" s="14"/>
      <c r="AB45" s="14"/>
      <c r="AC45" s="14"/>
      <c r="AD45" s="14"/>
      <c r="AE45" s="14">
        <v>175000</v>
      </c>
      <c r="AF45" t="str">
        <f>IF(VLOOKUP(A45,Resources!A:B,2,FALSE)=0,"",VLOOKUP(A45,Resources!A:B,2,FALSE))</f>
        <v>http://www.sourcewatch.org/index.php/Lowndes_Foundation</v>
      </c>
    </row>
    <row r="46" spans="1:32" x14ac:dyDescent="0.2">
      <c r="A46" s="12" t="s">
        <v>43</v>
      </c>
      <c r="B46" s="14">
        <v>25000</v>
      </c>
      <c r="C46" s="14">
        <v>25000</v>
      </c>
      <c r="D46" s="14"/>
      <c r="E46" s="14">
        <v>40000</v>
      </c>
      <c r="F46" s="14"/>
      <c r="G46" s="14"/>
      <c r="H46" s="14">
        <v>40000</v>
      </c>
      <c r="I46" s="14">
        <v>25000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>
        <v>155000</v>
      </c>
      <c r="AF46" t="str">
        <f>IF(VLOOKUP(A46,Resources!A:B,2,FALSE)=0,"",VLOOKUP(A46,Resources!A:B,2,FALSE))</f>
        <v>http://www.sourcewatch.org/index.php/John_M._Olin_Foundation</v>
      </c>
    </row>
    <row r="47" spans="1:32" x14ac:dyDescent="0.2">
      <c r="A47" s="12" t="s">
        <v>44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>
        <v>150000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>
        <v>150000</v>
      </c>
      <c r="AF47" t="str">
        <f>IF(VLOOKUP(A47,Resources!A:B,2,FALSE)=0,"",VLOOKUP(A47,Resources!A:B,2,FALSE))</f>
        <v>http://www.sourcewatch.org/index.php/Seid_Foundation</v>
      </c>
    </row>
    <row r="48" spans="1:32" x14ac:dyDescent="0.2">
      <c r="A48" s="12" t="s">
        <v>45</v>
      </c>
      <c r="B48" s="14"/>
      <c r="C48" s="14"/>
      <c r="D48" s="14"/>
      <c r="E48" s="14"/>
      <c r="F48" s="14"/>
      <c r="G48" s="14"/>
      <c r="H48" s="14"/>
      <c r="I48" s="14"/>
      <c r="J48" s="14">
        <v>25000</v>
      </c>
      <c r="K48" s="14"/>
      <c r="L48" s="14"/>
      <c r="M48" s="14">
        <v>25000</v>
      </c>
      <c r="N48" s="14"/>
      <c r="O48" s="14">
        <v>30000</v>
      </c>
      <c r="P48" s="14"/>
      <c r="Q48" s="14">
        <v>35000</v>
      </c>
      <c r="R48" s="14">
        <v>20000</v>
      </c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>
        <v>135000</v>
      </c>
      <c r="AF48" t="str">
        <f>IF(VLOOKUP(A48,Resources!A:B,2,FALSE)=0,"",VLOOKUP(A48,Resources!A:B,2,FALSE))</f>
        <v>http://www.sourcewatch.org/index.php/Castle_Rock_Foundation</v>
      </c>
    </row>
    <row r="49" spans="1:32" x14ac:dyDescent="0.2">
      <c r="A49" s="12" t="s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>
        <v>15000</v>
      </c>
      <c r="Z49" s="14"/>
      <c r="AA49" s="14">
        <v>60000</v>
      </c>
      <c r="AB49" s="14">
        <v>35000</v>
      </c>
      <c r="AC49" s="14"/>
      <c r="AD49" s="14"/>
      <c r="AE49" s="14">
        <v>110000</v>
      </c>
      <c r="AF49" t="str">
        <f>IF(VLOOKUP(A49,Resources!A:B,2,FALSE)=0,"",VLOOKUP(A49,Resources!A:B,2,FALSE))</f>
        <v/>
      </c>
    </row>
    <row r="50" spans="1:32" x14ac:dyDescent="0.2">
      <c r="A50" s="12" t="s">
        <v>47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>
        <v>30000</v>
      </c>
      <c r="AA50" s="14">
        <v>20000</v>
      </c>
      <c r="AB50" s="14">
        <v>20000</v>
      </c>
      <c r="AC50" s="14">
        <v>20000</v>
      </c>
      <c r="AD50" s="14">
        <v>20000</v>
      </c>
      <c r="AE50" s="14">
        <v>110000</v>
      </c>
      <c r="AF50" t="str">
        <f>IF(VLOOKUP(A50,Resources!A:B,2,FALSE)=0,"",VLOOKUP(A50,Resources!A:B,2,FALSE))</f>
        <v>https://www.sourcewatch.org/index.php/Institute_for_Justice</v>
      </c>
    </row>
    <row r="51" spans="1:32" x14ac:dyDescent="0.2">
      <c r="A51" s="12" t="s">
        <v>51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>
        <v>50000</v>
      </c>
      <c r="V51" s="14">
        <v>50000</v>
      </c>
      <c r="W51" s="14"/>
      <c r="X51" s="14"/>
      <c r="Y51" s="14"/>
      <c r="Z51" s="14"/>
      <c r="AA51" s="14"/>
      <c r="AB51" s="14"/>
      <c r="AC51" s="14"/>
      <c r="AD51" s="14"/>
      <c r="AE51" s="14">
        <v>100000</v>
      </c>
      <c r="AF51" t="str">
        <f>IF(VLOOKUP(A51,Resources!A:B,2,FALSE)=0,"",VLOOKUP(A51,Resources!A:B,2,FALSE))</f>
        <v>https://www.desmogblog.com/mercer-family-foundation</v>
      </c>
    </row>
    <row r="52" spans="1:32" x14ac:dyDescent="0.2">
      <c r="A52" s="12" t="s">
        <v>49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>
        <v>1000</v>
      </c>
      <c r="P52" s="14">
        <v>1000</v>
      </c>
      <c r="Q52" s="14">
        <v>1000</v>
      </c>
      <c r="R52" s="14">
        <v>1000</v>
      </c>
      <c r="S52" s="14">
        <v>6000</v>
      </c>
      <c r="T52" s="14">
        <v>10000</v>
      </c>
      <c r="U52" s="14">
        <v>5000</v>
      </c>
      <c r="V52" s="14">
        <v>5000</v>
      </c>
      <c r="W52" s="14">
        <v>10000</v>
      </c>
      <c r="X52" s="14">
        <v>10000</v>
      </c>
      <c r="Y52" s="14">
        <v>10000</v>
      </c>
      <c r="Z52" s="14">
        <v>10000</v>
      </c>
      <c r="AA52" s="14">
        <v>10000</v>
      </c>
      <c r="AB52" s="14">
        <v>10000</v>
      </c>
      <c r="AC52" s="14">
        <v>10000</v>
      </c>
      <c r="AD52" s="14"/>
      <c r="AE52" s="14">
        <v>100000</v>
      </c>
      <c r="AF52" t="str">
        <f>IF(VLOOKUP(A52,Resources!A:B,2,FALSE)=0,"",VLOOKUP(A52,Resources!A:B,2,FALSE))</f>
        <v/>
      </c>
    </row>
    <row r="53" spans="1:32" x14ac:dyDescent="0.2">
      <c r="A53" s="12" t="s">
        <v>50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50000</v>
      </c>
      <c r="W53" s="14">
        <v>50000</v>
      </c>
      <c r="X53" s="14"/>
      <c r="Y53" s="14"/>
      <c r="Z53" s="14"/>
      <c r="AA53" s="14"/>
      <c r="AB53" s="14"/>
      <c r="AC53" s="14"/>
      <c r="AD53" s="14"/>
      <c r="AE53" s="14">
        <v>100000</v>
      </c>
      <c r="AF53" t="str">
        <f>IF(VLOOKUP(A53,Resources!A:B,2,FALSE)=0,"",VLOOKUP(A53,Resources!A:B,2,FALSE))</f>
        <v/>
      </c>
    </row>
    <row r="54" spans="1:32" x14ac:dyDescent="0.2">
      <c r="A54" s="12" t="s">
        <v>52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>
        <v>7500</v>
      </c>
      <c r="V54" s="14">
        <v>8000</v>
      </c>
      <c r="W54" s="14">
        <v>8000</v>
      </c>
      <c r="X54" s="14"/>
      <c r="Y54" s="14">
        <v>10000</v>
      </c>
      <c r="Z54" s="14">
        <v>18000</v>
      </c>
      <c r="AA54" s="14"/>
      <c r="AB54" s="14"/>
      <c r="AC54" s="14">
        <v>45050</v>
      </c>
      <c r="AD54" s="14"/>
      <c r="AE54" s="14">
        <v>96550</v>
      </c>
      <c r="AF54" t="str">
        <f>IF(VLOOKUP(A54,Resources!A:B,2,FALSE)=0,"",VLOOKUP(A54,Resources!A:B,2,FALSE))</f>
        <v>https://www.sourcewatch.org/index.php/Bradley_Impact_Fund</v>
      </c>
    </row>
    <row r="55" spans="1:32" x14ac:dyDescent="0.2">
      <c r="A55" s="12" t="s">
        <v>53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>
        <v>34618</v>
      </c>
      <c r="R55" s="14"/>
      <c r="S55" s="14"/>
      <c r="T55" s="14"/>
      <c r="U55" s="14">
        <v>60133</v>
      </c>
      <c r="V55" s="14"/>
      <c r="W55" s="14"/>
      <c r="X55" s="14"/>
      <c r="Y55" s="14"/>
      <c r="Z55" s="14"/>
      <c r="AA55" s="14"/>
      <c r="AB55" s="14"/>
      <c r="AC55" s="14"/>
      <c r="AD55" s="14"/>
      <c r="AE55" s="14">
        <v>94751</v>
      </c>
      <c r="AF55" t="str">
        <f>IF(VLOOKUP(A55,Resources!A:B,2,FALSE)=0,"",VLOOKUP(A55,Resources!A:B,2,FALSE))</f>
        <v>http://www.sourcewatch.org/index.php/Institute_for_Humane_Studies</v>
      </c>
    </row>
    <row r="56" spans="1:32" x14ac:dyDescent="0.2">
      <c r="A56" s="12" t="s">
        <v>54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>
        <v>5000</v>
      </c>
      <c r="T56" s="14">
        <v>5000</v>
      </c>
      <c r="U56" s="14">
        <v>8000</v>
      </c>
      <c r="V56" s="14">
        <v>8000</v>
      </c>
      <c r="W56" s="14">
        <v>8000</v>
      </c>
      <c r="X56" s="14">
        <v>8000</v>
      </c>
      <c r="Y56" s="14">
        <v>8000</v>
      </c>
      <c r="Z56" s="14">
        <v>8000</v>
      </c>
      <c r="AA56" s="14">
        <v>8000</v>
      </c>
      <c r="AB56" s="14">
        <v>8000</v>
      </c>
      <c r="AC56" s="14">
        <v>8000</v>
      </c>
      <c r="AD56" s="14">
        <v>8000</v>
      </c>
      <c r="AE56" s="14">
        <v>90000</v>
      </c>
      <c r="AF56" t="str">
        <f>IF(VLOOKUP(A56,Resources!A:B,2,FALSE)=0,"",VLOOKUP(A56,Resources!A:B,2,FALSE))</f>
        <v/>
      </c>
    </row>
    <row r="57" spans="1:32" x14ac:dyDescent="0.2">
      <c r="A57" s="12" t="s">
        <v>55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>
        <v>4000</v>
      </c>
      <c r="X57" s="14"/>
      <c r="Y57" s="14">
        <v>4246</v>
      </c>
      <c r="Z57" s="14">
        <v>10000</v>
      </c>
      <c r="AA57" s="14">
        <v>15000</v>
      </c>
      <c r="AB57" s="14">
        <v>15000</v>
      </c>
      <c r="AC57" s="14">
        <v>25000</v>
      </c>
      <c r="AD57" s="14">
        <v>10000</v>
      </c>
      <c r="AE57" s="14">
        <v>83246</v>
      </c>
      <c r="AF57" t="str">
        <f>IF(VLOOKUP(A57,Resources!A:B,2,FALSE)=0,"",VLOOKUP(A57,Resources!A:B,2,FALSE))</f>
        <v/>
      </c>
    </row>
    <row r="58" spans="1:32" x14ac:dyDescent="0.2">
      <c r="A58" s="12" t="s">
        <v>56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>
        <v>7000</v>
      </c>
      <c r="Z58" s="14">
        <v>6500</v>
      </c>
      <c r="AA58" s="14">
        <v>9836</v>
      </c>
      <c r="AB58" s="14">
        <v>23750</v>
      </c>
      <c r="AC58" s="14">
        <v>36000</v>
      </c>
      <c r="AD58" s="14"/>
      <c r="AE58" s="14">
        <v>83086</v>
      </c>
      <c r="AF58" t="str">
        <f>IF(VLOOKUP(A58,Resources!A:B,2,FALSE)=0,"",VLOOKUP(A58,Resources!A:B,2,FALSE))</f>
        <v/>
      </c>
    </row>
    <row r="59" spans="1:32" x14ac:dyDescent="0.2">
      <c r="A59" s="12" t="s">
        <v>57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>
        <v>1000</v>
      </c>
      <c r="S59" s="14">
        <v>7500</v>
      </c>
      <c r="T59" s="14">
        <v>8500</v>
      </c>
      <c r="U59" s="14">
        <v>10000</v>
      </c>
      <c r="V59" s="14">
        <v>7500</v>
      </c>
      <c r="W59" s="14">
        <v>7500</v>
      </c>
      <c r="X59" s="14">
        <v>5000</v>
      </c>
      <c r="Y59" s="14">
        <v>3000</v>
      </c>
      <c r="Z59" s="14">
        <v>5000</v>
      </c>
      <c r="AA59" s="14">
        <v>5000</v>
      </c>
      <c r="AB59" s="14">
        <v>7500</v>
      </c>
      <c r="AC59" s="14">
        <v>5500</v>
      </c>
      <c r="AD59" s="14">
        <v>9100</v>
      </c>
      <c r="AE59" s="14">
        <v>82100</v>
      </c>
      <c r="AF59" t="str">
        <f>IF(VLOOKUP(A59,Resources!A:B,2,FALSE)=0,"",VLOOKUP(A59,Resources!A:B,2,FALSE))</f>
        <v/>
      </c>
    </row>
    <row r="60" spans="1:32" x14ac:dyDescent="0.2">
      <c r="A60" s="12" t="s">
        <v>58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1000</v>
      </c>
      <c r="V60" s="14"/>
      <c r="W60" s="14">
        <v>1000</v>
      </c>
      <c r="X60" s="14">
        <v>3500</v>
      </c>
      <c r="Y60" s="14"/>
      <c r="Z60" s="14"/>
      <c r="AA60" s="14">
        <v>25000</v>
      </c>
      <c r="AB60" s="14">
        <v>25000</v>
      </c>
      <c r="AC60" s="14">
        <v>25000</v>
      </c>
      <c r="AD60" s="14"/>
      <c r="AE60" s="14">
        <v>80500</v>
      </c>
      <c r="AF60" t="str">
        <f>IF(VLOOKUP(A60,Resources!A:B,2,FALSE)=0,"",VLOOKUP(A60,Resources!A:B,2,FALSE))</f>
        <v/>
      </c>
    </row>
    <row r="61" spans="1:32" x14ac:dyDescent="0.2">
      <c r="A61" s="12" t="s">
        <v>59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>
        <v>15223</v>
      </c>
      <c r="U61" s="14"/>
      <c r="V61" s="14">
        <v>19200</v>
      </c>
      <c r="W61" s="14">
        <v>11738</v>
      </c>
      <c r="X61" s="14">
        <v>13564</v>
      </c>
      <c r="Y61" s="14">
        <v>6626</v>
      </c>
      <c r="Z61" s="14"/>
      <c r="AA61" s="14">
        <v>3850</v>
      </c>
      <c r="AB61" s="14">
        <v>4827</v>
      </c>
      <c r="AC61" s="14">
        <v>4827</v>
      </c>
      <c r="AD61" s="14"/>
      <c r="AE61" s="14">
        <v>79855</v>
      </c>
      <c r="AF61" t="str">
        <f>IF(VLOOKUP(A61,Resources!A:B,2,FALSE)=0,"",VLOOKUP(A61,Resources!A:B,2,FALSE))</f>
        <v>http://www.sourcewatch.org/index.php/Koch_Family_Foundations</v>
      </c>
    </row>
    <row r="62" spans="1:32" x14ac:dyDescent="0.2">
      <c r="A62" s="12" t="s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>
        <v>15000</v>
      </c>
      <c r="U62" s="14">
        <v>15000</v>
      </c>
      <c r="V62" s="14">
        <v>15000</v>
      </c>
      <c r="W62" s="14">
        <v>15000</v>
      </c>
      <c r="X62" s="14"/>
      <c r="Y62" s="14">
        <v>15000</v>
      </c>
      <c r="Z62" s="14"/>
      <c r="AA62" s="14"/>
      <c r="AB62" s="14"/>
      <c r="AC62" s="14"/>
      <c r="AD62" s="14"/>
      <c r="AE62" s="14">
        <v>75000</v>
      </c>
      <c r="AF62" t="str">
        <f>IF(VLOOKUP(A62,Resources!A:B,2,FALSE)=0,"",VLOOKUP(A62,Resources!A:B,2,FALSE))</f>
        <v/>
      </c>
    </row>
    <row r="63" spans="1:32" x14ac:dyDescent="0.2">
      <c r="A63" s="12" t="s">
        <v>60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>
        <v>60000</v>
      </c>
      <c r="Q63" s="14"/>
      <c r="R63" s="14"/>
      <c r="S63" s="14"/>
      <c r="T63" s="14"/>
      <c r="U63" s="14"/>
      <c r="V63" s="14"/>
      <c r="W63" s="14"/>
      <c r="X63" s="14">
        <v>15000</v>
      </c>
      <c r="Y63" s="14"/>
      <c r="Z63" s="14"/>
      <c r="AA63" s="14"/>
      <c r="AB63" s="14"/>
      <c r="AC63" s="14"/>
      <c r="AD63" s="14"/>
      <c r="AE63" s="14">
        <v>75000</v>
      </c>
      <c r="AF63" t="str">
        <f>IF(VLOOKUP(A63,Resources!A:B,2,FALSE)=0,"",VLOOKUP(A63,Resources!A:B,2,FALSE))</f>
        <v>http://www.sourcewatch.org/index.php/Pharmaceutical_Research_and_Manufacturers_of_America</v>
      </c>
    </row>
    <row r="64" spans="1:32" x14ac:dyDescent="0.2">
      <c r="A64" s="12" t="s">
        <v>62</v>
      </c>
      <c r="B64" s="14"/>
      <c r="C64" s="14"/>
      <c r="D64" s="14"/>
      <c r="E64" s="14"/>
      <c r="F64" s="14"/>
      <c r="G64" s="14"/>
      <c r="H64" s="14"/>
      <c r="I64" s="14">
        <v>500</v>
      </c>
      <c r="J64" s="14"/>
      <c r="K64" s="14"/>
      <c r="L64" s="14">
        <v>1000</v>
      </c>
      <c r="M64" s="14">
        <v>6000</v>
      </c>
      <c r="N64" s="14">
        <v>8000</v>
      </c>
      <c r="O64" s="14">
        <v>6000</v>
      </c>
      <c r="P64" s="14">
        <v>4000</v>
      </c>
      <c r="Q64" s="14"/>
      <c r="R64" s="14"/>
      <c r="S64" s="14">
        <v>8000</v>
      </c>
      <c r="T64" s="14">
        <v>12000</v>
      </c>
      <c r="U64" s="14">
        <v>13000</v>
      </c>
      <c r="V64" s="14">
        <v>4000</v>
      </c>
      <c r="W64" s="14"/>
      <c r="X64" s="14"/>
      <c r="Y64" s="14">
        <v>6000</v>
      </c>
      <c r="Z64" s="14">
        <v>3000</v>
      </c>
      <c r="AA64" s="14"/>
      <c r="AB64" s="14"/>
      <c r="AC64" s="14"/>
      <c r="AD64" s="14"/>
      <c r="AE64" s="14">
        <v>71500</v>
      </c>
      <c r="AF64" t="str">
        <f>IF(VLOOKUP(A64,Resources!A:B,2,FALSE)=0,"",VLOOKUP(A64,Resources!A:B,2,FALSE))</f>
        <v>http://www.sourcewatch.org/index.php/Rodney_Fund</v>
      </c>
    </row>
    <row r="65" spans="1:32" x14ac:dyDescent="0.2">
      <c r="A65" s="12" t="s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>
        <v>5000</v>
      </c>
      <c r="W65" s="14">
        <v>5000</v>
      </c>
      <c r="X65" s="14">
        <v>10000</v>
      </c>
      <c r="Y65" s="14"/>
      <c r="Z65" s="14">
        <v>25000</v>
      </c>
      <c r="AA65" s="14">
        <v>10000</v>
      </c>
      <c r="AB65" s="14">
        <v>5000</v>
      </c>
      <c r="AC65" s="14">
        <v>5000</v>
      </c>
      <c r="AD65" s="14">
        <v>5000</v>
      </c>
      <c r="AE65" s="14">
        <v>70000</v>
      </c>
      <c r="AF65" t="str">
        <f>IF(VLOOKUP(A65,Resources!A:B,2,FALSE)=0,"",VLOOKUP(A65,Resources!A:B,2,FALSE))</f>
        <v/>
      </c>
    </row>
    <row r="66" spans="1:32" x14ac:dyDescent="0.2">
      <c r="A66" s="12" t="s">
        <v>63</v>
      </c>
      <c r="B66" s="14"/>
      <c r="C66" s="14"/>
      <c r="D66" s="14"/>
      <c r="E66" s="14"/>
      <c r="F66" s="14"/>
      <c r="G66" s="14"/>
      <c r="H66" s="14"/>
      <c r="I66" s="14"/>
      <c r="J66" s="14">
        <v>2500</v>
      </c>
      <c r="K66" s="14"/>
      <c r="L66" s="14"/>
      <c r="M66" s="14">
        <v>2500</v>
      </c>
      <c r="N66" s="14"/>
      <c r="O66" s="14"/>
      <c r="P66" s="14">
        <v>25000</v>
      </c>
      <c r="Q66" s="14"/>
      <c r="R66" s="14">
        <v>10000</v>
      </c>
      <c r="S66" s="14">
        <v>5000</v>
      </c>
      <c r="T66" s="14">
        <v>5000</v>
      </c>
      <c r="U66" s="14">
        <v>5000</v>
      </c>
      <c r="V66" s="14">
        <v>5000</v>
      </c>
      <c r="W66" s="14">
        <v>5000</v>
      </c>
      <c r="X66" s="14"/>
      <c r="Y66" s="14">
        <v>5000</v>
      </c>
      <c r="Z66" s="14"/>
      <c r="AA66" s="14"/>
      <c r="AB66" s="14"/>
      <c r="AC66" s="14"/>
      <c r="AD66" s="14"/>
      <c r="AE66" s="14">
        <v>70000</v>
      </c>
      <c r="AF66" t="str">
        <f>IF(VLOOKUP(A66,Resources!A:B,2,FALSE)=0,"",VLOOKUP(A66,Resources!A:B,2,FALSE))</f>
        <v>https://www.sourcewatch.org/index.php/GFC_Foundation</v>
      </c>
    </row>
    <row r="67" spans="1:32" x14ac:dyDescent="0.2">
      <c r="A67" s="12" t="s">
        <v>65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>
        <v>1000</v>
      </c>
      <c r="Y67" s="14"/>
      <c r="Z67" s="14"/>
      <c r="AA67" s="14">
        <v>5000</v>
      </c>
      <c r="AB67" s="14">
        <v>5000</v>
      </c>
      <c r="AC67" s="14">
        <v>50000</v>
      </c>
      <c r="AD67" s="14"/>
      <c r="AE67" s="14">
        <v>61000</v>
      </c>
      <c r="AF67" t="str">
        <f>IF(VLOOKUP(A67,Resources!A:B,2,FALSE)=0,"",VLOOKUP(A67,Resources!A:B,2,FALSE))</f>
        <v>https://www.sourcewatch.org/index.php/Edward_A._%26_Catherine_L._Lozick_Foundation</v>
      </c>
    </row>
    <row r="68" spans="1:32" x14ac:dyDescent="0.2">
      <c r="A68" s="12" t="s">
        <v>66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>
        <v>10000</v>
      </c>
      <c r="AC68" s="14">
        <v>25000</v>
      </c>
      <c r="AD68" s="14">
        <v>25000</v>
      </c>
      <c r="AE68" s="14">
        <v>60000</v>
      </c>
      <c r="AF68" t="str">
        <f>IF(VLOOKUP(A68,Resources!A:B,2,FALSE)=0,"",VLOOKUP(A68,Resources!A:B,2,FALSE))</f>
        <v/>
      </c>
    </row>
    <row r="69" spans="1:32" x14ac:dyDescent="0.2">
      <c r="A69" s="12" t="s">
        <v>67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>
        <v>5000</v>
      </c>
      <c r="T69" s="14">
        <v>5000</v>
      </c>
      <c r="U69" s="14">
        <v>10000</v>
      </c>
      <c r="V69" s="14">
        <v>5000</v>
      </c>
      <c r="W69" s="14">
        <v>5000</v>
      </c>
      <c r="X69" s="14">
        <v>5000</v>
      </c>
      <c r="Y69" s="14"/>
      <c r="Z69" s="14">
        <v>5000</v>
      </c>
      <c r="AA69" s="14">
        <v>4000</v>
      </c>
      <c r="AB69" s="14">
        <v>4000</v>
      </c>
      <c r="AC69" s="14">
        <v>5000</v>
      </c>
      <c r="AD69" s="14">
        <v>5000</v>
      </c>
      <c r="AE69" s="14">
        <v>58000</v>
      </c>
      <c r="AF69" t="str">
        <f>IF(VLOOKUP(A69,Resources!A:B,2,FALSE)=0,"",VLOOKUP(A69,Resources!A:B,2,FALSE))</f>
        <v/>
      </c>
    </row>
    <row r="70" spans="1:32" x14ac:dyDescent="0.2">
      <c r="A70" s="12" t="s">
        <v>68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>
        <v>500</v>
      </c>
      <c r="Q70" s="14">
        <v>500</v>
      </c>
      <c r="R70" s="14">
        <v>750</v>
      </c>
      <c r="S70" s="14">
        <v>750</v>
      </c>
      <c r="T70" s="14">
        <v>500</v>
      </c>
      <c r="U70" s="14">
        <v>500</v>
      </c>
      <c r="V70" s="14">
        <v>1000</v>
      </c>
      <c r="W70" s="14">
        <v>5000</v>
      </c>
      <c r="X70" s="14">
        <v>8000</v>
      </c>
      <c r="Y70" s="14">
        <v>8000</v>
      </c>
      <c r="Z70" s="14">
        <v>8000</v>
      </c>
      <c r="AA70" s="14">
        <v>8000</v>
      </c>
      <c r="AB70" s="14">
        <v>8000</v>
      </c>
      <c r="AC70" s="14">
        <v>8000</v>
      </c>
      <c r="AD70" s="14"/>
      <c r="AE70" s="14">
        <v>57500</v>
      </c>
      <c r="AF70" t="str">
        <f>IF(VLOOKUP(A70,Resources!A:B,2,FALSE)=0,"",VLOOKUP(A70,Resources!A:B,2,FALSE))</f>
        <v/>
      </c>
    </row>
    <row r="71" spans="1:32" x14ac:dyDescent="0.2">
      <c r="A71" s="12" t="s">
        <v>69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>
        <v>5000</v>
      </c>
      <c r="U71" s="14">
        <v>7500</v>
      </c>
      <c r="V71" s="14">
        <v>7500</v>
      </c>
      <c r="W71" s="14">
        <v>7500</v>
      </c>
      <c r="X71" s="14">
        <v>7500</v>
      </c>
      <c r="Y71" s="14">
        <v>7500</v>
      </c>
      <c r="Z71" s="14">
        <v>10000</v>
      </c>
      <c r="AA71" s="14">
        <v>5000</v>
      </c>
      <c r="AB71" s="14"/>
      <c r="AC71" s="14"/>
      <c r="AD71" s="14"/>
      <c r="AE71" s="14">
        <v>57500</v>
      </c>
      <c r="AF71" t="str">
        <f>IF(VLOOKUP(A71,Resources!A:B,2,FALSE)=0,"",VLOOKUP(A71,Resources!A:B,2,FALSE))</f>
        <v/>
      </c>
    </row>
    <row r="72" spans="1:32" x14ac:dyDescent="0.2">
      <c r="A72" s="12" t="s">
        <v>70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>
        <v>5100</v>
      </c>
      <c r="S72" s="14">
        <v>10136</v>
      </c>
      <c r="T72" s="14">
        <v>10100</v>
      </c>
      <c r="U72" s="14"/>
      <c r="V72" s="14">
        <v>20050</v>
      </c>
      <c r="W72" s="14"/>
      <c r="X72" s="14">
        <v>5050</v>
      </c>
      <c r="Y72" s="14">
        <v>5200</v>
      </c>
      <c r="Z72" s="14"/>
      <c r="AA72" s="14"/>
      <c r="AB72" s="14"/>
      <c r="AC72" s="14"/>
      <c r="AD72" s="14"/>
      <c r="AE72" s="14">
        <v>55636</v>
      </c>
      <c r="AF72" t="str">
        <f>IF(VLOOKUP(A72,Resources!A:B,2,FALSE)=0,"",VLOOKUP(A72,Resources!A:B,2,FALSE))</f>
        <v/>
      </c>
    </row>
    <row r="73" spans="1:32" x14ac:dyDescent="0.2">
      <c r="A73" s="12" t="s">
        <v>71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>
        <v>15000</v>
      </c>
      <c r="Z73" s="14">
        <v>16000</v>
      </c>
      <c r="AA73" s="14">
        <v>10000</v>
      </c>
      <c r="AB73" s="14"/>
      <c r="AC73" s="14">
        <v>10000</v>
      </c>
      <c r="AD73" s="14"/>
      <c r="AE73" s="14">
        <v>51000</v>
      </c>
      <c r="AF73" t="str">
        <f>IF(VLOOKUP(A73,Resources!A:B,2,FALSE)=0,"",VLOOKUP(A73,Resources!A:B,2,FALSE))</f>
        <v>https://www.desmog.com/american-fuel-petrochemical-manufacturers-afpm/</v>
      </c>
    </row>
    <row r="74" spans="1:32" x14ac:dyDescent="0.2">
      <c r="A74" s="12" t="s">
        <v>72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>
        <v>50000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>
        <v>50000</v>
      </c>
      <c r="AF74" t="str">
        <f>IF(VLOOKUP(A74,Resources!A:B,2,FALSE)=0,"",VLOOKUP(A74,Resources!A:B,2,FALSE))</f>
        <v/>
      </c>
    </row>
    <row r="75" spans="1:32" x14ac:dyDescent="0.2">
      <c r="A75" s="12" t="s">
        <v>73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>
        <v>25000</v>
      </c>
      <c r="AC75" s="14">
        <v>25000</v>
      </c>
      <c r="AD75" s="14"/>
      <c r="AE75" s="14">
        <v>50000</v>
      </c>
      <c r="AF75" t="str">
        <f>IF(VLOOKUP(A75,Resources!A:B,2,FALSE)=0,"",VLOOKUP(A75,Resources!A:B,2,FALSE))</f>
        <v/>
      </c>
    </row>
    <row r="76" spans="1:32" x14ac:dyDescent="0.2">
      <c r="A76" s="12" t="s">
        <v>74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>
        <v>10000</v>
      </c>
      <c r="AA76" s="14">
        <v>10000</v>
      </c>
      <c r="AB76" s="14">
        <v>10000</v>
      </c>
      <c r="AC76" s="14">
        <v>10000</v>
      </c>
      <c r="AD76" s="14">
        <v>10000</v>
      </c>
      <c r="AE76" s="14">
        <v>50000</v>
      </c>
      <c r="AF76" t="str">
        <f>IF(VLOOKUP(A76,Resources!A:B,2,FALSE)=0,"",VLOOKUP(A76,Resources!A:B,2,FALSE))</f>
        <v/>
      </c>
    </row>
    <row r="77" spans="1:32" x14ac:dyDescent="0.2">
      <c r="A77" s="12" t="s">
        <v>75</v>
      </c>
      <c r="B77" s="14"/>
      <c r="C77" s="14"/>
      <c r="D77" s="14"/>
      <c r="E77" s="14"/>
      <c r="F77" s="14"/>
      <c r="G77" s="14"/>
      <c r="H77" s="14"/>
      <c r="I77" s="14"/>
      <c r="J77" s="14">
        <v>6500</v>
      </c>
      <c r="K77" s="14"/>
      <c r="L77" s="14">
        <v>2500</v>
      </c>
      <c r="M77" s="14">
        <v>15000</v>
      </c>
      <c r="N77" s="14">
        <v>15000</v>
      </c>
      <c r="O77" s="14"/>
      <c r="P77" s="14"/>
      <c r="Q77" s="14"/>
      <c r="R77" s="14"/>
      <c r="S77" s="14">
        <v>10000</v>
      </c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>
        <v>49000</v>
      </c>
      <c r="AF77" t="str">
        <f>IF(VLOOKUP(A77,Resources!A:B,2,FALSE)=0,"",VLOOKUP(A77,Resources!A:B,2,FALSE))</f>
        <v>https://www.desmogblog.com/koch-family-foundations</v>
      </c>
    </row>
    <row r="78" spans="1:32" x14ac:dyDescent="0.2">
      <c r="A78" s="12" t="s">
        <v>76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2500</v>
      </c>
      <c r="V78" s="14">
        <v>2500</v>
      </c>
      <c r="W78" s="14">
        <v>3000</v>
      </c>
      <c r="X78" s="14">
        <v>4000</v>
      </c>
      <c r="Y78" s="14">
        <v>5000</v>
      </c>
      <c r="Z78" s="14">
        <v>5000</v>
      </c>
      <c r="AA78" s="14">
        <v>5000</v>
      </c>
      <c r="AB78" s="14">
        <v>7000</v>
      </c>
      <c r="AC78" s="14">
        <v>7000</v>
      </c>
      <c r="AD78" s="14">
        <v>7000</v>
      </c>
      <c r="AE78" s="14">
        <v>48000</v>
      </c>
      <c r="AF78" t="str">
        <f>IF(VLOOKUP(A78,Resources!A:B,2,FALSE)=0,"",VLOOKUP(A78,Resources!A:B,2,FALSE))</f>
        <v/>
      </c>
    </row>
    <row r="79" spans="1:32" x14ac:dyDescent="0.2">
      <c r="A79" s="12" t="s">
        <v>78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>
        <v>45000</v>
      </c>
      <c r="AC79" s="14"/>
      <c r="AD79" s="14"/>
      <c r="AE79" s="14">
        <v>45000</v>
      </c>
      <c r="AF79" t="str">
        <f>IF(VLOOKUP(A79,Resources!A:B,2,FALSE)=0,"",VLOOKUP(A79,Resources!A:B,2,FALSE))</f>
        <v/>
      </c>
    </row>
    <row r="80" spans="1:32" x14ac:dyDescent="0.2">
      <c r="A80" s="12" t="s">
        <v>77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5000</v>
      </c>
      <c r="V80" s="14"/>
      <c r="W80" s="14">
        <v>10000</v>
      </c>
      <c r="X80" s="14">
        <v>10000</v>
      </c>
      <c r="Y80" s="14">
        <v>5000</v>
      </c>
      <c r="Z80" s="14">
        <v>5000</v>
      </c>
      <c r="AA80" s="14"/>
      <c r="AB80" s="14">
        <v>5000</v>
      </c>
      <c r="AC80" s="14">
        <v>5000</v>
      </c>
      <c r="AD80" s="14"/>
      <c r="AE80" s="14">
        <v>45000</v>
      </c>
      <c r="AF80" t="str">
        <f>IF(VLOOKUP(A80,Resources!A:B,2,FALSE)=0,"",VLOOKUP(A80,Resources!A:B,2,FALSE))</f>
        <v/>
      </c>
    </row>
    <row r="81" spans="1:32" x14ac:dyDescent="0.2">
      <c r="A81" s="12" t="s">
        <v>79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>
        <v>5500</v>
      </c>
      <c r="AC81" s="14"/>
      <c r="AD81" s="14">
        <v>36000</v>
      </c>
      <c r="AE81" s="14">
        <v>41500</v>
      </c>
      <c r="AF81" t="str">
        <f>IF(VLOOKUP(A81,Resources!A:B,2,FALSE)=0,"",VLOOKUP(A81,Resources!A:B,2,FALSE))</f>
        <v/>
      </c>
    </row>
    <row r="82" spans="1:32" x14ac:dyDescent="0.2">
      <c r="A82" s="12" t="s">
        <v>80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>
        <v>10000</v>
      </c>
      <c r="AA82" s="14">
        <v>10000</v>
      </c>
      <c r="AB82" s="14">
        <v>10000</v>
      </c>
      <c r="AC82" s="14">
        <v>10000</v>
      </c>
      <c r="AD82" s="14"/>
      <c r="AE82" s="14">
        <v>40000</v>
      </c>
      <c r="AF82" t="str">
        <f>IF(VLOOKUP(A82,Resources!A:B,2,FALSE)=0,"",VLOOKUP(A82,Resources!A:B,2,FALSE))</f>
        <v>https://www.sourcewatch.org/index.php/Seattle_Foundation</v>
      </c>
    </row>
    <row r="83" spans="1:32" x14ac:dyDescent="0.2">
      <c r="A83" s="12" t="s">
        <v>81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>
        <v>10000</v>
      </c>
      <c r="W83" s="14"/>
      <c r="X83" s="14">
        <v>15000</v>
      </c>
      <c r="Y83" s="14"/>
      <c r="Z83" s="14">
        <v>15000</v>
      </c>
      <c r="AA83" s="14"/>
      <c r="AB83" s="14"/>
      <c r="AC83" s="14"/>
      <c r="AD83" s="14"/>
      <c r="AE83" s="14">
        <v>40000</v>
      </c>
      <c r="AF83" t="str">
        <f>IF(VLOOKUP(A83,Resources!A:B,2,FALSE)=0,"",VLOOKUP(A83,Resources!A:B,2,FALSE))</f>
        <v>https://www.desmogblog.com/edison-electric-institute</v>
      </c>
    </row>
    <row r="84" spans="1:32" x14ac:dyDescent="0.2">
      <c r="A84" s="12" t="s">
        <v>82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>
        <v>250</v>
      </c>
      <c r="T84" s="14">
        <v>250</v>
      </c>
      <c r="U84" s="14">
        <v>250</v>
      </c>
      <c r="V84" s="14">
        <v>3000</v>
      </c>
      <c r="W84" s="14">
        <v>5000</v>
      </c>
      <c r="X84" s="14">
        <v>5000</v>
      </c>
      <c r="Y84" s="14">
        <v>2500</v>
      </c>
      <c r="Z84" s="14">
        <v>7500</v>
      </c>
      <c r="AA84" s="14">
        <v>5000</v>
      </c>
      <c r="AB84" s="14">
        <v>5000</v>
      </c>
      <c r="AC84" s="14">
        <v>5000</v>
      </c>
      <c r="AD84" s="14"/>
      <c r="AE84" s="14">
        <v>38750</v>
      </c>
      <c r="AF84" t="str">
        <f>IF(VLOOKUP(A84,Resources!A:B,2,FALSE)=0,"",VLOOKUP(A84,Resources!A:B,2,FALSE))</f>
        <v/>
      </c>
    </row>
    <row r="85" spans="1:32" x14ac:dyDescent="0.2">
      <c r="A85" s="12" t="s">
        <v>86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>
        <v>15000</v>
      </c>
      <c r="AC85" s="14">
        <v>15000</v>
      </c>
      <c r="AD85" s="14"/>
      <c r="AE85" s="14">
        <v>30000</v>
      </c>
      <c r="AF85" t="str">
        <f>IF(VLOOKUP(A85,Resources!A:B,2,FALSE)=0,"",VLOOKUP(A85,Resources!A:B,2,FALSE))</f>
        <v/>
      </c>
    </row>
    <row r="86" spans="1:32" x14ac:dyDescent="0.2">
      <c r="A86" s="12" t="s">
        <v>85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>
        <v>5000</v>
      </c>
      <c r="U86" s="14">
        <v>5000</v>
      </c>
      <c r="V86" s="14"/>
      <c r="W86" s="14"/>
      <c r="X86" s="14"/>
      <c r="Y86" s="14"/>
      <c r="Z86" s="14"/>
      <c r="AA86" s="14"/>
      <c r="AB86" s="14">
        <v>10000</v>
      </c>
      <c r="AC86" s="14">
        <v>10000</v>
      </c>
      <c r="AD86" s="14"/>
      <c r="AE86" s="14">
        <v>30000</v>
      </c>
      <c r="AF86" t="str">
        <f>IF(VLOOKUP(A86,Resources!A:B,2,FALSE)=0,"",VLOOKUP(A86,Resources!A:B,2,FALSE))</f>
        <v/>
      </c>
    </row>
    <row r="87" spans="1:32" x14ac:dyDescent="0.2">
      <c r="A87" s="12" t="s">
        <v>83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>
        <v>10000</v>
      </c>
      <c r="AC87" s="14">
        <v>10000</v>
      </c>
      <c r="AD87" s="14">
        <v>10000</v>
      </c>
      <c r="AE87" s="14">
        <v>30000</v>
      </c>
      <c r="AF87" t="str">
        <f>IF(VLOOKUP(A87,Resources!A:B,2,FALSE)=0,"",VLOOKUP(A87,Resources!A:B,2,FALSE))</f>
        <v/>
      </c>
    </row>
    <row r="88" spans="1:32" x14ac:dyDescent="0.2">
      <c r="A88" s="12" t="s">
        <v>84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>
        <v>5000</v>
      </c>
      <c r="W88" s="14">
        <v>25000</v>
      </c>
      <c r="X88" s="14"/>
      <c r="Y88" s="14"/>
      <c r="Z88" s="14"/>
      <c r="AA88" s="14"/>
      <c r="AB88" s="14"/>
      <c r="AC88" s="14"/>
      <c r="AD88" s="14"/>
      <c r="AE88" s="14">
        <v>30000</v>
      </c>
      <c r="AF88" t="str">
        <f>IF(VLOOKUP(A88,Resources!A:B,2,FALSE)=0,"",VLOOKUP(A88,Resources!A:B,2,FALSE))</f>
        <v/>
      </c>
    </row>
    <row r="89" spans="1:32" x14ac:dyDescent="0.2">
      <c r="A89" s="12" t="s">
        <v>87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>
        <v>10000</v>
      </c>
      <c r="Q89" s="14"/>
      <c r="R89" s="14">
        <v>10000</v>
      </c>
      <c r="S89" s="14">
        <v>1500</v>
      </c>
      <c r="T89" s="14">
        <v>1000</v>
      </c>
      <c r="U89" s="14">
        <v>1100</v>
      </c>
      <c r="V89" s="14"/>
      <c r="W89" s="14">
        <v>2750</v>
      </c>
      <c r="X89" s="14">
        <v>1000</v>
      </c>
      <c r="Y89" s="14">
        <v>500</v>
      </c>
      <c r="Z89" s="14">
        <v>750</v>
      </c>
      <c r="AA89" s="14">
        <v>1000</v>
      </c>
      <c r="AB89" s="14"/>
      <c r="AC89" s="14"/>
      <c r="AD89" s="14"/>
      <c r="AE89" s="14">
        <v>29600</v>
      </c>
      <c r="AF89" t="str">
        <f>IF(VLOOKUP(A89,Resources!A:B,2,FALSE)=0,"",VLOOKUP(A89,Resources!A:B,2,FALSE))</f>
        <v/>
      </c>
    </row>
    <row r="90" spans="1:32" x14ac:dyDescent="0.2">
      <c r="A90" s="12" t="s">
        <v>88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>
        <v>2000</v>
      </c>
      <c r="T90" s="14">
        <v>1000</v>
      </c>
      <c r="U90" s="14">
        <v>2000</v>
      </c>
      <c r="V90" s="14">
        <v>4000</v>
      </c>
      <c r="W90" s="14">
        <v>4000</v>
      </c>
      <c r="X90" s="14">
        <v>4000</v>
      </c>
      <c r="Y90" s="14">
        <v>3000</v>
      </c>
      <c r="Z90" s="14">
        <v>2000</v>
      </c>
      <c r="AA90" s="14">
        <v>2000</v>
      </c>
      <c r="AB90" s="14">
        <v>2000</v>
      </c>
      <c r="AC90" s="14">
        <v>3000</v>
      </c>
      <c r="AD90" s="14"/>
      <c r="AE90" s="14">
        <v>29000</v>
      </c>
      <c r="AF90" t="str">
        <f>IF(VLOOKUP(A90,Resources!A:B,2,FALSE)=0,"",VLOOKUP(A90,Resources!A:B,2,FALSE))</f>
        <v/>
      </c>
    </row>
    <row r="91" spans="1:32" x14ac:dyDescent="0.2">
      <c r="A91" s="12" t="s">
        <v>89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>
        <v>1000</v>
      </c>
      <c r="V91" s="14">
        <v>10000</v>
      </c>
      <c r="W91" s="14">
        <v>15000</v>
      </c>
      <c r="X91" s="14"/>
      <c r="Y91" s="14"/>
      <c r="Z91" s="14"/>
      <c r="AA91" s="14"/>
      <c r="AB91" s="14"/>
      <c r="AC91" s="14"/>
      <c r="AD91" s="14"/>
      <c r="AE91" s="14">
        <v>26000</v>
      </c>
      <c r="AF91" t="str">
        <f>IF(VLOOKUP(A91,Resources!A:B,2,FALSE)=0,"",VLOOKUP(A91,Resources!A:B,2,FALSE))</f>
        <v/>
      </c>
    </row>
    <row r="92" spans="1:32" x14ac:dyDescent="0.2">
      <c r="A92" s="12" t="s">
        <v>91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>
        <v>25000</v>
      </c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>
        <v>25000</v>
      </c>
      <c r="AF92" t="str">
        <f>IF(VLOOKUP(A92,Resources!A:B,2,FALSE)=0,"",VLOOKUP(A92,Resources!A:B,2,FALSE))</f>
        <v/>
      </c>
    </row>
    <row r="93" spans="1:32" x14ac:dyDescent="0.2">
      <c r="A93" s="12" t="s">
        <v>93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>
        <v>5000</v>
      </c>
      <c r="AA93" s="14"/>
      <c r="AB93" s="14">
        <v>5000</v>
      </c>
      <c r="AC93" s="14">
        <v>10000</v>
      </c>
      <c r="AD93" s="14">
        <v>5000</v>
      </c>
      <c r="AE93" s="14">
        <v>25000</v>
      </c>
      <c r="AF93" t="str">
        <f>IF(VLOOKUP(A93,Resources!A:B,2,FALSE)=0,"",VLOOKUP(A93,Resources!A:B,2,FALSE))</f>
        <v/>
      </c>
    </row>
    <row r="94" spans="1:32" x14ac:dyDescent="0.2">
      <c r="A94" s="12" t="s">
        <v>90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>
        <v>25000</v>
      </c>
      <c r="AC94" s="14"/>
      <c r="AD94" s="14"/>
      <c r="AE94" s="14">
        <v>25000</v>
      </c>
      <c r="AF94" t="str">
        <f>IF(VLOOKUP(A94,Resources!A:B,2,FALSE)=0,"",VLOOKUP(A94,Resources!A:B,2,FALSE))</f>
        <v>https://www.sourcewatch.org/index.php/People_United_for_Privacy</v>
      </c>
    </row>
    <row r="95" spans="1:32" x14ac:dyDescent="0.2">
      <c r="A95" s="12" t="s">
        <v>92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>
        <v>25000</v>
      </c>
      <c r="X95" s="14"/>
      <c r="Y95" s="14"/>
      <c r="Z95" s="14"/>
      <c r="AA95" s="14"/>
      <c r="AB95" s="14"/>
      <c r="AC95" s="14"/>
      <c r="AD95" s="14"/>
      <c r="AE95" s="14">
        <v>25000</v>
      </c>
      <c r="AF95" t="str">
        <f>IF(VLOOKUP(A95,Resources!A:B,2,FALSE)=0,"",VLOOKUP(A95,Resources!A:B,2,FALSE))</f>
        <v>https://www.sourcewatch.org/index.php/Ed_Uihlein_Family_Foundation</v>
      </c>
    </row>
    <row r="96" spans="1:32" x14ac:dyDescent="0.2">
      <c r="A96" s="12" t="s">
        <v>94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15000</v>
      </c>
      <c r="V96" s="14">
        <v>10000</v>
      </c>
      <c r="W96" s="14"/>
      <c r="X96" s="14"/>
      <c r="Y96" s="14"/>
      <c r="Z96" s="14"/>
      <c r="AA96" s="14"/>
      <c r="AB96" s="14"/>
      <c r="AC96" s="14"/>
      <c r="AD96" s="14"/>
      <c r="AE96" s="14">
        <v>25000</v>
      </c>
      <c r="AF96" t="str">
        <f>IF(VLOOKUP(A96,Resources!A:B,2,FALSE)=0,"",VLOOKUP(A96,Resources!A:B,2,FALSE))</f>
        <v>http://www.sourcewatch.org/index.php/Atlas_Economic_Research_Foundation</v>
      </c>
    </row>
    <row r="97" spans="1:32" x14ac:dyDescent="0.2">
      <c r="A97" s="12" t="s">
        <v>95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>
        <v>1000</v>
      </c>
      <c r="W97" s="14">
        <v>5000</v>
      </c>
      <c r="X97" s="14">
        <v>5000</v>
      </c>
      <c r="Y97" s="14"/>
      <c r="Z97" s="14">
        <v>5000</v>
      </c>
      <c r="AA97" s="14">
        <v>2500</v>
      </c>
      <c r="AB97" s="14">
        <v>2000</v>
      </c>
      <c r="AC97" s="14">
        <v>2000</v>
      </c>
      <c r="AD97" s="14">
        <v>2000</v>
      </c>
      <c r="AE97" s="14">
        <v>24500</v>
      </c>
      <c r="AF97" t="str">
        <f>IF(VLOOKUP(A97,Resources!A:B,2,FALSE)=0,"",VLOOKUP(A97,Resources!A:B,2,FALSE))</f>
        <v/>
      </c>
    </row>
    <row r="98" spans="1:32" x14ac:dyDescent="0.2">
      <c r="A98" s="12" t="s">
        <v>96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>
        <v>5000</v>
      </c>
      <c r="Y98" s="14">
        <v>5000</v>
      </c>
      <c r="Z98" s="14"/>
      <c r="AA98" s="14">
        <v>7200</v>
      </c>
      <c r="AB98" s="14">
        <v>7000</v>
      </c>
      <c r="AC98" s="14"/>
      <c r="AD98" s="14"/>
      <c r="AE98" s="14">
        <v>24200</v>
      </c>
      <c r="AF98" t="str">
        <f>IF(VLOOKUP(A98,Resources!A:B,2,FALSE)=0,"",VLOOKUP(A98,Resources!A:B,2,FALSE))</f>
        <v>https://www.sourcewatch.org/index.php/Minneapolis_Foundation</v>
      </c>
    </row>
    <row r="99" spans="1:32" x14ac:dyDescent="0.2">
      <c r="A99" s="12" t="s">
        <v>97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>
        <v>100</v>
      </c>
      <c r="R99" s="14"/>
      <c r="S99" s="14">
        <v>4783.0600000000004</v>
      </c>
      <c r="T99" s="14"/>
      <c r="U99" s="14">
        <v>3608.94</v>
      </c>
      <c r="V99" s="14">
        <v>2500</v>
      </c>
      <c r="W99" s="14">
        <v>6000</v>
      </c>
      <c r="X99" s="14">
        <v>7000</v>
      </c>
      <c r="Y99" s="14"/>
      <c r="Z99" s="14"/>
      <c r="AA99" s="14"/>
      <c r="AB99" s="14"/>
      <c r="AC99" s="14"/>
      <c r="AD99" s="14"/>
      <c r="AE99" s="14">
        <v>23992</v>
      </c>
      <c r="AF99" t="str">
        <f>IF(VLOOKUP(A99,Resources!A:B,2,FALSE)=0,"",VLOOKUP(A99,Resources!A:B,2,FALSE))</f>
        <v/>
      </c>
    </row>
    <row r="100" spans="1:32" x14ac:dyDescent="0.2">
      <c r="A100" s="12" t="s">
        <v>98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>
        <v>21410</v>
      </c>
      <c r="Z100" s="14"/>
      <c r="AA100" s="14"/>
      <c r="AB100" s="14"/>
      <c r="AC100" s="14"/>
      <c r="AD100" s="14"/>
      <c r="AE100" s="14">
        <v>21410</v>
      </c>
      <c r="AF100" t="str">
        <f>IF(VLOOKUP(A100,Resources!A:B,2,FALSE)=0,"",VLOOKUP(A100,Resources!A:B,2,FALSE))</f>
        <v/>
      </c>
    </row>
    <row r="101" spans="1:32" x14ac:dyDescent="0.2">
      <c r="A101" s="12" t="s">
        <v>99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>
        <v>1000</v>
      </c>
      <c r="P101" s="14"/>
      <c r="Q101" s="14"/>
      <c r="R101" s="14"/>
      <c r="S101" s="14"/>
      <c r="T101" s="14"/>
      <c r="U101" s="14">
        <v>5250</v>
      </c>
      <c r="V101" s="14">
        <v>5000</v>
      </c>
      <c r="W101" s="14"/>
      <c r="X101" s="14">
        <v>5000</v>
      </c>
      <c r="Y101" s="14">
        <v>5000</v>
      </c>
      <c r="Z101" s="14"/>
      <c r="AA101" s="14"/>
      <c r="AB101" s="14"/>
      <c r="AC101" s="14"/>
      <c r="AD101" s="14"/>
      <c r="AE101" s="14">
        <v>21250</v>
      </c>
      <c r="AF101" t="str">
        <f>IF(VLOOKUP(A101,Resources!A:B,2,FALSE)=0,"",VLOOKUP(A101,Resources!A:B,2,FALSE))</f>
        <v/>
      </c>
    </row>
    <row r="102" spans="1:32" x14ac:dyDescent="0.2">
      <c r="A102" s="12" t="s">
        <v>100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>
        <v>5200</v>
      </c>
      <c r="X102" s="14">
        <v>8000</v>
      </c>
      <c r="Y102" s="14"/>
      <c r="Z102" s="14">
        <v>6000</v>
      </c>
      <c r="AA102" s="14"/>
      <c r="AB102" s="14"/>
      <c r="AC102" s="14"/>
      <c r="AD102" s="14"/>
      <c r="AE102" s="14">
        <v>19200</v>
      </c>
      <c r="AF102" t="str">
        <f>IF(VLOOKUP(A102,Resources!A:B,2,FALSE)=0,"",VLOOKUP(A102,Resources!A:B,2,FALSE))</f>
        <v>https://www.desmogblog.com/koch-family-foundations</v>
      </c>
    </row>
    <row r="103" spans="1:32" x14ac:dyDescent="0.2">
      <c r="A103" s="12" t="s">
        <v>101</v>
      </c>
      <c r="B103" s="14"/>
      <c r="C103" s="14"/>
      <c r="D103" s="14"/>
      <c r="E103" s="14"/>
      <c r="F103" s="14"/>
      <c r="G103" s="14"/>
      <c r="H103" s="14"/>
      <c r="I103" s="14">
        <v>3000</v>
      </c>
      <c r="J103" s="14">
        <v>3000</v>
      </c>
      <c r="K103" s="14">
        <v>1000</v>
      </c>
      <c r="L103" s="14">
        <v>1000</v>
      </c>
      <c r="M103" s="14">
        <v>1000</v>
      </c>
      <c r="N103" s="14">
        <v>2000</v>
      </c>
      <c r="O103" s="14">
        <v>2000</v>
      </c>
      <c r="P103" s="14">
        <v>1000</v>
      </c>
      <c r="Q103" s="14">
        <v>1000</v>
      </c>
      <c r="R103" s="14">
        <v>1000</v>
      </c>
      <c r="S103" s="14">
        <v>1000</v>
      </c>
      <c r="T103" s="14">
        <v>1000</v>
      </c>
      <c r="U103" s="14"/>
      <c r="V103" s="14"/>
      <c r="W103" s="14"/>
      <c r="X103" s="14"/>
      <c r="Y103" s="14"/>
      <c r="Z103" s="14">
        <v>1000</v>
      </c>
      <c r="AA103" s="14"/>
      <c r="AB103" s="14"/>
      <c r="AC103" s="14"/>
      <c r="AD103" s="14"/>
      <c r="AE103" s="14">
        <v>19000</v>
      </c>
      <c r="AF103" t="str">
        <f>IF(VLOOKUP(A103,Resources!A:B,2,FALSE)=0,"",VLOOKUP(A103,Resources!A:B,2,FALSE))</f>
        <v/>
      </c>
    </row>
    <row r="104" spans="1:32" x14ac:dyDescent="0.2">
      <c r="A104" s="12" t="s">
        <v>102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>
        <v>2000</v>
      </c>
      <c r="V104" s="14">
        <v>5000</v>
      </c>
      <c r="W104" s="14">
        <v>12000</v>
      </c>
      <c r="X104" s="14"/>
      <c r="Y104" s="14"/>
      <c r="Z104" s="14"/>
      <c r="AA104" s="14"/>
      <c r="AB104" s="14"/>
      <c r="AC104" s="14"/>
      <c r="AD104" s="14"/>
      <c r="AE104" s="14">
        <v>19000</v>
      </c>
      <c r="AF104" t="str">
        <f>IF(VLOOKUP(A104,Resources!A:B,2,FALSE)=0,"",VLOOKUP(A104,Resources!A:B,2,FALSE))</f>
        <v/>
      </c>
    </row>
    <row r="105" spans="1:32" x14ac:dyDescent="0.2">
      <c r="A105" s="12" t="s">
        <v>103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>
        <v>100</v>
      </c>
      <c r="P105" s="14">
        <v>100</v>
      </c>
      <c r="Q105" s="14">
        <v>100</v>
      </c>
      <c r="R105" s="14">
        <v>200</v>
      </c>
      <c r="S105" s="14">
        <v>200</v>
      </c>
      <c r="T105" s="14">
        <v>200</v>
      </c>
      <c r="U105" s="14">
        <v>200</v>
      </c>
      <c r="V105" s="14">
        <v>200</v>
      </c>
      <c r="W105" s="14">
        <v>200</v>
      </c>
      <c r="X105" s="14">
        <v>1000</v>
      </c>
      <c r="Y105" s="14">
        <v>1000</v>
      </c>
      <c r="Z105" s="14">
        <v>6000</v>
      </c>
      <c r="AA105" s="14">
        <v>2000</v>
      </c>
      <c r="AB105" s="14">
        <v>2000</v>
      </c>
      <c r="AC105" s="14">
        <v>5000</v>
      </c>
      <c r="AD105" s="14"/>
      <c r="AE105" s="14">
        <v>18500</v>
      </c>
      <c r="AF105" t="str">
        <f>IF(VLOOKUP(A105,Resources!A:B,2,FALSE)=0,"",VLOOKUP(A105,Resources!A:B,2,FALSE))</f>
        <v/>
      </c>
    </row>
    <row r="106" spans="1:32" x14ac:dyDescent="0.2">
      <c r="A106" s="12" t="s">
        <v>104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>
        <v>6000</v>
      </c>
      <c r="X106" s="14"/>
      <c r="Y106" s="14"/>
      <c r="Z106" s="14">
        <v>5250</v>
      </c>
      <c r="AA106" s="14"/>
      <c r="AB106" s="14"/>
      <c r="AC106" s="14">
        <v>6500</v>
      </c>
      <c r="AD106" s="14"/>
      <c r="AE106" s="14">
        <v>17750</v>
      </c>
      <c r="AF106" t="str">
        <f>IF(VLOOKUP(A106,Resources!A:B,2,FALSE)=0,"",VLOOKUP(A106,Resources!A:B,2,FALSE))</f>
        <v/>
      </c>
    </row>
    <row r="107" spans="1:32" x14ac:dyDescent="0.2">
      <c r="A107" s="12" t="s">
        <v>105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>
        <v>7500</v>
      </c>
      <c r="M107" s="14"/>
      <c r="N107" s="14">
        <v>10000</v>
      </c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>
        <v>17500</v>
      </c>
      <c r="AF107" t="str">
        <f>IF(VLOOKUP(A107,Resources!A:B,2,FALSE)=0,"",VLOOKUP(A107,Resources!A:B,2,FALSE))</f>
        <v/>
      </c>
    </row>
    <row r="108" spans="1:32" x14ac:dyDescent="0.2">
      <c r="A108" s="12" t="s">
        <v>106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>
        <v>350</v>
      </c>
      <c r="T108" s="14">
        <v>600</v>
      </c>
      <c r="U108" s="14">
        <v>1750</v>
      </c>
      <c r="V108" s="14">
        <v>2750</v>
      </c>
      <c r="W108" s="14">
        <v>2150</v>
      </c>
      <c r="X108" s="14">
        <v>1700</v>
      </c>
      <c r="Y108" s="14">
        <v>750</v>
      </c>
      <c r="Z108" s="14">
        <v>1200</v>
      </c>
      <c r="AA108" s="14">
        <v>1000</v>
      </c>
      <c r="AB108" s="14">
        <v>2040</v>
      </c>
      <c r="AC108" s="14">
        <v>2040</v>
      </c>
      <c r="AD108" s="14"/>
      <c r="AE108" s="14">
        <v>16330</v>
      </c>
      <c r="AF108" t="str">
        <f>IF(VLOOKUP(A108,Resources!A:B,2,FALSE)=0,"",VLOOKUP(A108,Resources!A:B,2,FALSE))</f>
        <v/>
      </c>
    </row>
    <row r="109" spans="1:32" x14ac:dyDescent="0.2">
      <c r="A109" s="12" t="s">
        <v>109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>
        <v>7500</v>
      </c>
      <c r="Y109" s="14"/>
      <c r="Z109" s="14"/>
      <c r="AA109" s="14">
        <v>5000</v>
      </c>
      <c r="AB109" s="14">
        <v>1000</v>
      </c>
      <c r="AC109" s="14">
        <v>1000</v>
      </c>
      <c r="AD109" s="14">
        <v>1000</v>
      </c>
      <c r="AE109" s="14">
        <v>15500</v>
      </c>
      <c r="AF109" t="str">
        <f>IF(VLOOKUP(A109,Resources!A:B,2,FALSE)=0,"",VLOOKUP(A109,Resources!A:B,2,FALSE))</f>
        <v/>
      </c>
    </row>
    <row r="110" spans="1:32" x14ac:dyDescent="0.2">
      <c r="A110" s="12" t="s">
        <v>107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>
        <v>1000</v>
      </c>
      <c r="S110" s="14">
        <v>1000</v>
      </c>
      <c r="T110" s="14">
        <v>1000</v>
      </c>
      <c r="U110" s="14">
        <v>1000</v>
      </c>
      <c r="V110" s="14">
        <v>1000</v>
      </c>
      <c r="W110" s="14">
        <v>1500</v>
      </c>
      <c r="X110" s="14">
        <v>1500</v>
      </c>
      <c r="Y110" s="14">
        <v>1500</v>
      </c>
      <c r="Z110" s="14">
        <v>1500</v>
      </c>
      <c r="AA110" s="14">
        <v>1500</v>
      </c>
      <c r="AB110" s="14">
        <v>1500</v>
      </c>
      <c r="AC110" s="14">
        <v>1500</v>
      </c>
      <c r="AD110" s="14"/>
      <c r="AE110" s="14">
        <v>15500</v>
      </c>
      <c r="AF110" t="str">
        <f>IF(VLOOKUP(A110,Resources!A:B,2,FALSE)=0,"",VLOOKUP(A110,Resources!A:B,2,FALSE))</f>
        <v/>
      </c>
    </row>
    <row r="111" spans="1:32" x14ac:dyDescent="0.2">
      <c r="A111" s="12" t="s">
        <v>110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>
        <v>15500</v>
      </c>
      <c r="AD111" s="14"/>
      <c r="AE111" s="14">
        <v>15500</v>
      </c>
      <c r="AF111" t="str">
        <f>IF(VLOOKUP(A111,Resources!A:B,2,FALSE)=0,"",VLOOKUP(A111,Resources!A:B,2,FALSE))</f>
        <v/>
      </c>
    </row>
    <row r="112" spans="1:32" x14ac:dyDescent="0.2">
      <c r="A112" s="12" t="s">
        <v>108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>
        <v>1000</v>
      </c>
      <c r="S112" s="14">
        <v>1000</v>
      </c>
      <c r="T112" s="14">
        <v>1000</v>
      </c>
      <c r="U112" s="14">
        <v>1000</v>
      </c>
      <c r="V112" s="14">
        <v>1000</v>
      </c>
      <c r="W112" s="14">
        <v>1500</v>
      </c>
      <c r="X112" s="14">
        <v>1500</v>
      </c>
      <c r="Y112" s="14">
        <v>1500</v>
      </c>
      <c r="Z112" s="14">
        <v>1500</v>
      </c>
      <c r="AA112" s="14">
        <v>1500</v>
      </c>
      <c r="AB112" s="14">
        <v>1500</v>
      </c>
      <c r="AC112" s="14">
        <v>1500</v>
      </c>
      <c r="AD112" s="14"/>
      <c r="AE112" s="14">
        <v>15500</v>
      </c>
      <c r="AF112" t="str">
        <f>IF(VLOOKUP(A112,Resources!A:B,2,FALSE)=0,"",VLOOKUP(A112,Resources!A:B,2,FALSE))</f>
        <v/>
      </c>
    </row>
    <row r="113" spans="1:32" x14ac:dyDescent="0.2">
      <c r="A113" s="12" t="s">
        <v>115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>
        <v>5000</v>
      </c>
      <c r="AB113" s="14">
        <v>5000</v>
      </c>
      <c r="AC113" s="14">
        <v>5000</v>
      </c>
      <c r="AD113" s="14"/>
      <c r="AE113" s="14">
        <v>15000</v>
      </c>
      <c r="AF113" t="str">
        <f>IF(VLOOKUP(A113,Resources!A:B,2,FALSE)=0,"",VLOOKUP(A113,Resources!A:B,2,FALSE))</f>
        <v/>
      </c>
    </row>
    <row r="114" spans="1:32" x14ac:dyDescent="0.2">
      <c r="A114" s="12" t="s">
        <v>112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>
        <v>15000</v>
      </c>
      <c r="AA114" s="14"/>
      <c r="AB114" s="14"/>
      <c r="AC114" s="14"/>
      <c r="AD114" s="14"/>
      <c r="AE114" s="14">
        <v>15000</v>
      </c>
      <c r="AF114" t="str">
        <f>IF(VLOOKUP(A114,Resources!A:B,2,FALSE)=0,"",VLOOKUP(A114,Resources!A:B,2,FALSE))</f>
        <v>https://www.sourcewatch.org/index.php/Center_for_Growth_and_Opportunity</v>
      </c>
    </row>
    <row r="115" spans="1:32" x14ac:dyDescent="0.2">
      <c r="A115" s="12" t="s">
        <v>114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10000</v>
      </c>
      <c r="U115" s="14">
        <v>5000</v>
      </c>
      <c r="V115" s="14"/>
      <c r="W115" s="14"/>
      <c r="X115" s="14"/>
      <c r="Y115" s="14"/>
      <c r="Z115" s="14"/>
      <c r="AA115" s="14"/>
      <c r="AB115" s="14"/>
      <c r="AC115" s="14"/>
      <c r="AD115" s="14"/>
      <c r="AE115" s="14">
        <v>15000</v>
      </c>
      <c r="AF115" t="str">
        <f>IF(VLOOKUP(A115,Resources!A:B,2,FALSE)=0,"",VLOOKUP(A115,Resources!A:B,2,FALSE))</f>
        <v>http://www.alecexposed.org/wiki/What_is_ALEC%3F</v>
      </c>
    </row>
    <row r="116" spans="1:32" x14ac:dyDescent="0.2">
      <c r="A116" s="12" t="s">
        <v>111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>
        <v>15000</v>
      </c>
      <c r="X116" s="14"/>
      <c r="Y116" s="14"/>
      <c r="Z116" s="14"/>
      <c r="AA116" s="14"/>
      <c r="AB116" s="14"/>
      <c r="AC116" s="14"/>
      <c r="AD116" s="14"/>
      <c r="AE116" s="14">
        <v>15000</v>
      </c>
      <c r="AF116" t="str">
        <f>IF(VLOOKUP(A116,Resources!A:B,2,FALSE)=0,"",VLOOKUP(A116,Resources!A:B,2,FALSE))</f>
        <v/>
      </c>
    </row>
    <row r="117" spans="1:32" x14ac:dyDescent="0.2">
      <c r="A117" s="12" t="s">
        <v>113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>
        <v>15000</v>
      </c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>
        <v>15000</v>
      </c>
      <c r="AF117" t="str">
        <f>IF(VLOOKUP(A117,Resources!A:B,2,FALSE)=0,"",VLOOKUP(A117,Resources!A:B,2,FALSE))</f>
        <v>https://www.desmogblog.com/americans-for-prosperity</v>
      </c>
    </row>
    <row r="118" spans="1:32" x14ac:dyDescent="0.2">
      <c r="A118" s="12" t="s">
        <v>117</v>
      </c>
      <c r="B118" s="14"/>
      <c r="C118" s="14"/>
      <c r="D118" s="14"/>
      <c r="E118" s="14"/>
      <c r="F118" s="14"/>
      <c r="G118" s="14"/>
      <c r="H118" s="14"/>
      <c r="I118" s="14">
        <v>1000</v>
      </c>
      <c r="J118" s="14">
        <v>500</v>
      </c>
      <c r="K118" s="14"/>
      <c r="L118" s="14">
        <v>500</v>
      </c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>
        <v>1000</v>
      </c>
      <c r="Y118" s="14">
        <v>1000</v>
      </c>
      <c r="Z118" s="14">
        <v>5000</v>
      </c>
      <c r="AA118" s="14"/>
      <c r="AB118" s="14">
        <v>4000</v>
      </c>
      <c r="AC118" s="14">
        <v>1000</v>
      </c>
      <c r="AD118" s="14"/>
      <c r="AE118" s="14">
        <v>14000</v>
      </c>
      <c r="AF118" t="str">
        <f>IF(VLOOKUP(A118,Resources!A:B,2,FALSE)=0,"",VLOOKUP(A118,Resources!A:B,2,FALSE))</f>
        <v/>
      </c>
    </row>
    <row r="119" spans="1:32" x14ac:dyDescent="0.2">
      <c r="A119" s="12" t="s">
        <v>116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>
        <v>1000</v>
      </c>
      <c r="R119" s="14">
        <v>1000</v>
      </c>
      <c r="S119" s="14">
        <v>2500</v>
      </c>
      <c r="T119" s="14">
        <v>1000</v>
      </c>
      <c r="U119" s="14">
        <v>1000</v>
      </c>
      <c r="V119" s="14">
        <v>1000</v>
      </c>
      <c r="W119" s="14">
        <v>1500</v>
      </c>
      <c r="X119" s="14"/>
      <c r="Y119" s="14">
        <v>5000</v>
      </c>
      <c r="Z119" s="14"/>
      <c r="AA119" s="14"/>
      <c r="AB119" s="14"/>
      <c r="AC119" s="14"/>
      <c r="AD119" s="14"/>
      <c r="AE119" s="14">
        <v>14000</v>
      </c>
      <c r="AF119" t="str">
        <f>IF(VLOOKUP(A119,Resources!A:B,2,FALSE)=0,"",VLOOKUP(A119,Resources!A:B,2,FALSE))</f>
        <v/>
      </c>
    </row>
    <row r="120" spans="1:32" x14ac:dyDescent="0.2">
      <c r="A120" s="12" t="s">
        <v>118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1000</v>
      </c>
      <c r="V120" s="14"/>
      <c r="W120" s="14">
        <v>2500</v>
      </c>
      <c r="X120" s="14"/>
      <c r="Y120" s="14"/>
      <c r="Z120" s="14">
        <v>2500</v>
      </c>
      <c r="AA120" s="14"/>
      <c r="AB120" s="14">
        <v>2500</v>
      </c>
      <c r="AC120" s="14">
        <v>5000</v>
      </c>
      <c r="AD120" s="14"/>
      <c r="AE120" s="14">
        <v>13500</v>
      </c>
      <c r="AF120" t="str">
        <f>IF(VLOOKUP(A120,Resources!A:B,2,FALSE)=0,"",VLOOKUP(A120,Resources!A:B,2,FALSE))</f>
        <v/>
      </c>
    </row>
    <row r="121" spans="1:32" x14ac:dyDescent="0.2">
      <c r="A121" s="12" t="s">
        <v>119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>
        <v>1000</v>
      </c>
      <c r="Q121" s="14">
        <v>500</v>
      </c>
      <c r="R121" s="14">
        <v>500</v>
      </c>
      <c r="S121" s="14">
        <v>1000</v>
      </c>
      <c r="T121" s="14">
        <v>500</v>
      </c>
      <c r="U121" s="14">
        <v>250</v>
      </c>
      <c r="V121" s="14">
        <v>500</v>
      </c>
      <c r="W121" s="14">
        <v>1000</v>
      </c>
      <c r="X121" s="14">
        <v>1000</v>
      </c>
      <c r="Y121" s="14">
        <v>1000</v>
      </c>
      <c r="Z121" s="14">
        <v>1000</v>
      </c>
      <c r="AA121" s="14">
        <v>1000</v>
      </c>
      <c r="AB121" s="14">
        <v>1000</v>
      </c>
      <c r="AC121" s="14">
        <v>2000</v>
      </c>
      <c r="AD121" s="14">
        <v>1000</v>
      </c>
      <c r="AE121" s="14">
        <v>13250</v>
      </c>
      <c r="AF121" t="str">
        <f>IF(VLOOKUP(A121,Resources!A:B,2,FALSE)=0,"",VLOOKUP(A121,Resources!A:B,2,FALSE))</f>
        <v/>
      </c>
    </row>
    <row r="122" spans="1:32" x14ac:dyDescent="0.2">
      <c r="A122" s="12" t="s">
        <v>120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>
        <v>1000</v>
      </c>
      <c r="Q122" s="14">
        <v>2000</v>
      </c>
      <c r="R122" s="14">
        <v>1000</v>
      </c>
      <c r="S122" s="14">
        <v>1000</v>
      </c>
      <c r="T122" s="14">
        <v>1000</v>
      </c>
      <c r="U122" s="14"/>
      <c r="V122" s="14"/>
      <c r="W122" s="14"/>
      <c r="X122" s="14"/>
      <c r="Y122" s="14">
        <v>2000</v>
      </c>
      <c r="Z122" s="14"/>
      <c r="AA122" s="14"/>
      <c r="AB122" s="14">
        <v>2000</v>
      </c>
      <c r="AC122" s="14">
        <v>3000</v>
      </c>
      <c r="AD122" s="14"/>
      <c r="AE122" s="14">
        <v>13000</v>
      </c>
      <c r="AF122" t="str">
        <f>IF(VLOOKUP(A122,Resources!A:B,2,FALSE)=0,"",VLOOKUP(A122,Resources!A:B,2,FALSE))</f>
        <v/>
      </c>
    </row>
    <row r="123" spans="1:32" x14ac:dyDescent="0.2">
      <c r="A123" s="12" t="s">
        <v>121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>
        <v>13000</v>
      </c>
      <c r="Z123" s="14"/>
      <c r="AA123" s="14"/>
      <c r="AB123" s="14"/>
      <c r="AC123" s="14"/>
      <c r="AD123" s="14"/>
      <c r="AE123" s="14">
        <v>13000</v>
      </c>
      <c r="AF123" t="str">
        <f>IF(VLOOKUP(A123,Resources!A:B,2,FALSE)=0,"",VLOOKUP(A123,Resources!A:B,2,FALSE))</f>
        <v>https://www.sourcewatch.org/index.php/The_Policy_Circle</v>
      </c>
    </row>
    <row r="124" spans="1:32" x14ac:dyDescent="0.2">
      <c r="A124" s="12" t="s">
        <v>123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>
        <v>1000</v>
      </c>
      <c r="U124" s="14"/>
      <c r="V124" s="14"/>
      <c r="W124" s="14"/>
      <c r="X124" s="14"/>
      <c r="Y124" s="14">
        <v>5000</v>
      </c>
      <c r="Z124" s="14">
        <v>5000</v>
      </c>
      <c r="AA124" s="14"/>
      <c r="AB124" s="14"/>
      <c r="AC124" s="14"/>
      <c r="AD124" s="14"/>
      <c r="AE124" s="14">
        <v>11000</v>
      </c>
      <c r="AF124" t="str">
        <f>IF(VLOOKUP(A124,Resources!A:B,2,FALSE)=0,"",VLOOKUP(A124,Resources!A:B,2,FALSE))</f>
        <v/>
      </c>
    </row>
    <row r="125" spans="1:32" x14ac:dyDescent="0.2">
      <c r="A125" s="12" t="s">
        <v>122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>
        <v>2000</v>
      </c>
      <c r="AB125" s="14">
        <v>3000</v>
      </c>
      <c r="AC125" s="14">
        <v>3000</v>
      </c>
      <c r="AD125" s="14">
        <v>3000</v>
      </c>
      <c r="AE125" s="14">
        <v>11000</v>
      </c>
      <c r="AF125" t="str">
        <f>IF(VLOOKUP(A125,Resources!A:B,2,FALSE)=0,"",VLOOKUP(A125,Resources!A:B,2,FALSE))</f>
        <v/>
      </c>
    </row>
    <row r="126" spans="1:32" x14ac:dyDescent="0.2">
      <c r="A126" s="12" t="s">
        <v>124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>
        <v>2000</v>
      </c>
      <c r="AA126" s="14">
        <v>2000</v>
      </c>
      <c r="AB126" s="14"/>
      <c r="AC126" s="14">
        <v>4000</v>
      </c>
      <c r="AD126" s="14">
        <v>2000</v>
      </c>
      <c r="AE126" s="14">
        <v>10000</v>
      </c>
      <c r="AF126" t="str">
        <f>IF(VLOOKUP(A126,Resources!A:B,2,FALSE)=0,"",VLOOKUP(A126,Resources!A:B,2,FALSE))</f>
        <v/>
      </c>
    </row>
    <row r="127" spans="1:32" x14ac:dyDescent="0.2">
      <c r="A127" s="12" t="s">
        <v>126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>
        <v>10000</v>
      </c>
      <c r="Z127" s="14"/>
      <c r="AA127" s="14"/>
      <c r="AB127" s="14"/>
      <c r="AC127" s="14"/>
      <c r="AD127" s="14"/>
      <c r="AE127" s="14">
        <v>10000</v>
      </c>
      <c r="AF127" t="str">
        <f>IF(VLOOKUP(A127,Resources!A:B,2,FALSE)=0,"",VLOOKUP(A127,Resources!A:B,2,FALSE))</f>
        <v>https://www.sourcewatch.org/index.php/Mywireless.org</v>
      </c>
    </row>
    <row r="128" spans="1:32" x14ac:dyDescent="0.2">
      <c r="A128" s="12" t="s">
        <v>127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>
        <v>10000</v>
      </c>
      <c r="AD128" s="14"/>
      <c r="AE128" s="14">
        <v>10000</v>
      </c>
      <c r="AF128" t="str">
        <f>IF(VLOOKUP(A128,Resources!A:B,2,FALSE)=0,"",VLOOKUP(A128,Resources!A:B,2,FALSE))</f>
        <v/>
      </c>
    </row>
    <row r="129" spans="1:32" x14ac:dyDescent="0.2">
      <c r="A129" s="12" t="s">
        <v>131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10000</v>
      </c>
      <c r="V129" s="14"/>
      <c r="W129" s="14"/>
      <c r="X129" s="14"/>
      <c r="Y129" s="14"/>
      <c r="Z129" s="14"/>
      <c r="AA129" s="14"/>
      <c r="AB129" s="14"/>
      <c r="AC129" s="14"/>
      <c r="AD129" s="14"/>
      <c r="AE129" s="14">
        <v>10000</v>
      </c>
      <c r="AF129" t="str">
        <f>IF(VLOOKUP(A129,Resources!A:B,2,FALSE)=0,"",VLOOKUP(A129,Resources!A:B,2,FALSE))</f>
        <v/>
      </c>
    </row>
    <row r="130" spans="1:32" x14ac:dyDescent="0.2">
      <c r="A130" s="12" t="s">
        <v>129</v>
      </c>
      <c r="B130" s="14"/>
      <c r="C130" s="14"/>
      <c r="D130" s="14"/>
      <c r="E130" s="14"/>
      <c r="F130" s="14"/>
      <c r="G130" s="14"/>
      <c r="H130" s="14"/>
      <c r="I130" s="14"/>
      <c r="J130" s="14">
        <v>10000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>
        <v>10000</v>
      </c>
      <c r="AF130" t="str">
        <f>IF(VLOOKUP(A130,Resources!A:B,2,FALSE)=0,"",VLOOKUP(A130,Resources!A:B,2,FALSE))</f>
        <v>http://www.sourcewatch.org/index.php/Friedman_Foundation_for_Educational_Choice</v>
      </c>
    </row>
    <row r="131" spans="1:32" x14ac:dyDescent="0.2">
      <c r="A131" s="12" t="s">
        <v>125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>
        <v>10000</v>
      </c>
      <c r="AB131" s="14"/>
      <c r="AC131" s="14"/>
      <c r="AD131" s="14"/>
      <c r="AE131" s="14">
        <v>10000</v>
      </c>
      <c r="AF131" t="str">
        <f>IF(VLOOKUP(A131,Resources!A:B,2,FALSE)=0,"",VLOOKUP(A131,Resources!A:B,2,FALSE))</f>
        <v/>
      </c>
    </row>
    <row r="132" spans="1:32" x14ac:dyDescent="0.2">
      <c r="A132" s="12" t="s">
        <v>128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>
        <v>10000</v>
      </c>
      <c r="Y132" s="14"/>
      <c r="Z132" s="14"/>
      <c r="AA132" s="14"/>
      <c r="AB132" s="14"/>
      <c r="AC132" s="14"/>
      <c r="AD132" s="14"/>
      <c r="AE132" s="14">
        <v>10000</v>
      </c>
      <c r="AF132" t="str">
        <f>IF(VLOOKUP(A132,Resources!A:B,2,FALSE)=0,"",VLOOKUP(A132,Resources!A:B,2,FALSE))</f>
        <v/>
      </c>
    </row>
    <row r="133" spans="1:32" x14ac:dyDescent="0.2">
      <c r="A133" s="12" t="s">
        <v>130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>
        <v>10000</v>
      </c>
      <c r="Z133" s="14"/>
      <c r="AA133" s="14"/>
      <c r="AB133" s="14"/>
      <c r="AC133" s="14"/>
      <c r="AD133" s="14"/>
      <c r="AE133" s="14">
        <v>10000</v>
      </c>
      <c r="AF133" t="str">
        <f>IF(VLOOKUP(A133,Resources!A:B,2,FALSE)=0,"",VLOOKUP(A133,Resources!A:B,2,FALSE))</f>
        <v/>
      </c>
    </row>
    <row r="134" spans="1:32" x14ac:dyDescent="0.2">
      <c r="A134" s="12" t="s">
        <v>132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500</v>
      </c>
      <c r="V134" s="14">
        <v>600</v>
      </c>
      <c r="W134" s="14">
        <v>600</v>
      </c>
      <c r="X134" s="14">
        <v>750</v>
      </c>
      <c r="Y134" s="14">
        <v>1000</v>
      </c>
      <c r="Z134" s="14">
        <v>1200</v>
      </c>
      <c r="AA134" s="14">
        <v>1200</v>
      </c>
      <c r="AB134" s="14">
        <v>1200</v>
      </c>
      <c r="AC134" s="14">
        <v>1200</v>
      </c>
      <c r="AD134" s="14">
        <v>1200</v>
      </c>
      <c r="AE134" s="14">
        <v>9450</v>
      </c>
      <c r="AF134" t="str">
        <f>IF(VLOOKUP(A134,Resources!A:B,2,FALSE)=0,"",VLOOKUP(A134,Resources!A:B,2,FALSE))</f>
        <v/>
      </c>
    </row>
    <row r="135" spans="1:32" x14ac:dyDescent="0.2">
      <c r="A135" s="12" t="s">
        <v>135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>
        <v>2000</v>
      </c>
      <c r="AA135" s="14">
        <v>0</v>
      </c>
      <c r="AB135" s="14">
        <v>6000</v>
      </c>
      <c r="AC135" s="14"/>
      <c r="AD135" s="14"/>
      <c r="AE135" s="14">
        <v>8000</v>
      </c>
      <c r="AF135" t="str">
        <f>IF(VLOOKUP(A135,Resources!A:B,2,FALSE)=0,"",VLOOKUP(A135,Resources!A:B,2,FALSE))</f>
        <v>https://www.sourcewatch.org/index.php/Bader_Family_Foundation</v>
      </c>
    </row>
    <row r="136" spans="1:32" x14ac:dyDescent="0.2">
      <c r="A136" s="12" t="s">
        <v>133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>
        <v>8000</v>
      </c>
      <c r="AB136" s="14"/>
      <c r="AC136" s="14"/>
      <c r="AD136" s="14"/>
      <c r="AE136" s="14">
        <v>8000</v>
      </c>
      <c r="AF136" t="str">
        <f>IF(VLOOKUP(A136,Resources!A:B,2,FALSE)=0,"",VLOOKUP(A136,Resources!A:B,2,FALSE))</f>
        <v/>
      </c>
    </row>
    <row r="137" spans="1:32" x14ac:dyDescent="0.2">
      <c r="A137" s="12" t="s">
        <v>134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>
        <v>1000</v>
      </c>
      <c r="Z137" s="14">
        <v>2000</v>
      </c>
      <c r="AA137" s="14">
        <v>2000</v>
      </c>
      <c r="AB137" s="14">
        <v>2000</v>
      </c>
      <c r="AC137" s="14">
        <v>1000</v>
      </c>
      <c r="AD137" s="14"/>
      <c r="AE137" s="14">
        <v>8000</v>
      </c>
      <c r="AF137" t="str">
        <f>IF(VLOOKUP(A137,Resources!A:B,2,FALSE)=0,"",VLOOKUP(A137,Resources!A:B,2,FALSE))</f>
        <v>https://www.sourcewatch.org/index.php?title=Frankel_Family_Foundation</v>
      </c>
    </row>
    <row r="138" spans="1:32" x14ac:dyDescent="0.2">
      <c r="A138" s="12" t="s">
        <v>136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>
        <v>2000</v>
      </c>
      <c r="V138" s="14"/>
      <c r="W138" s="14"/>
      <c r="X138" s="14">
        <v>500</v>
      </c>
      <c r="Y138" s="14"/>
      <c r="Z138" s="14">
        <v>2000</v>
      </c>
      <c r="AA138" s="14">
        <v>2000</v>
      </c>
      <c r="AB138" s="14">
        <v>1000</v>
      </c>
      <c r="AC138" s="14"/>
      <c r="AD138" s="14"/>
      <c r="AE138" s="14">
        <v>7500</v>
      </c>
      <c r="AF138" t="str">
        <f>IF(VLOOKUP(A138,Resources!A:B,2,FALSE)=0,"",VLOOKUP(A138,Resources!A:B,2,FALSE))</f>
        <v/>
      </c>
    </row>
    <row r="139" spans="1:32" x14ac:dyDescent="0.2">
      <c r="A139" s="12" t="s">
        <v>137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>
        <v>7500</v>
      </c>
      <c r="AA139" s="14"/>
      <c r="AB139" s="14"/>
      <c r="AC139" s="14"/>
      <c r="AD139" s="14"/>
      <c r="AE139" s="14">
        <v>7500</v>
      </c>
      <c r="AF139" t="str">
        <f>IF(VLOOKUP(A139,Resources!A:B,2,FALSE)=0,"",VLOOKUP(A139,Resources!A:B,2,FALSE))</f>
        <v>https://www.desmog.com/mercatus-center/</v>
      </c>
    </row>
    <row r="140" spans="1:32" x14ac:dyDescent="0.2">
      <c r="A140" s="12" t="s">
        <v>138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>
        <v>7500</v>
      </c>
      <c r="Y140" s="14"/>
      <c r="Z140" s="14"/>
      <c r="AA140" s="14"/>
      <c r="AB140" s="14"/>
      <c r="AC140" s="14"/>
      <c r="AD140" s="14"/>
      <c r="AE140" s="14">
        <v>7500</v>
      </c>
      <c r="AF140" t="str">
        <f>IF(VLOOKUP(A140,Resources!A:B,2,FALSE)=0,"",VLOOKUP(A140,Resources!A:B,2,FALSE))</f>
        <v/>
      </c>
    </row>
    <row r="141" spans="1:32" x14ac:dyDescent="0.2">
      <c r="A141" s="12" t="s">
        <v>139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>
        <v>100</v>
      </c>
      <c r="Z141" s="14">
        <v>250</v>
      </c>
      <c r="AA141" s="14">
        <v>1000</v>
      </c>
      <c r="AB141" s="14">
        <v>2000</v>
      </c>
      <c r="AC141" s="14">
        <v>2000</v>
      </c>
      <c r="AD141" s="14">
        <v>2000</v>
      </c>
      <c r="AE141" s="14">
        <v>7350</v>
      </c>
      <c r="AF141" t="str">
        <f>IF(VLOOKUP(A141,Resources!A:B,2,FALSE)=0,"",VLOOKUP(A141,Resources!A:B,2,FALSE))</f>
        <v/>
      </c>
    </row>
    <row r="142" spans="1:32" x14ac:dyDescent="0.2">
      <c r="A142" s="12" t="s">
        <v>140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>
        <v>500</v>
      </c>
      <c r="U142" s="14"/>
      <c r="V142" s="14"/>
      <c r="W142" s="14">
        <v>1000</v>
      </c>
      <c r="X142" s="14"/>
      <c r="Y142" s="14">
        <v>2000</v>
      </c>
      <c r="Z142" s="14">
        <v>1000</v>
      </c>
      <c r="AA142" s="14"/>
      <c r="AB142" s="14">
        <v>1000</v>
      </c>
      <c r="AC142" s="14">
        <v>1500</v>
      </c>
      <c r="AD142" s="14"/>
      <c r="AE142" s="14">
        <v>7000</v>
      </c>
      <c r="AF142" t="str">
        <f>IF(VLOOKUP(A142,Resources!A:B,2,FALSE)=0,"",VLOOKUP(A142,Resources!A:B,2,FALSE))</f>
        <v/>
      </c>
    </row>
    <row r="143" spans="1:32" x14ac:dyDescent="0.2">
      <c r="A143" s="12" t="s">
        <v>141</v>
      </c>
      <c r="B143" s="14"/>
      <c r="C143" s="14"/>
      <c r="D143" s="14"/>
      <c r="E143" s="14"/>
      <c r="F143" s="14"/>
      <c r="G143" s="14"/>
      <c r="H143" s="14">
        <v>2500</v>
      </c>
      <c r="I143" s="14">
        <v>2500</v>
      </c>
      <c r="J143" s="14"/>
      <c r="K143" s="14"/>
      <c r="L143" s="14"/>
      <c r="M143" s="14"/>
      <c r="N143" s="14"/>
      <c r="O143" s="14"/>
      <c r="P143" s="14"/>
      <c r="Q143" s="14"/>
      <c r="R143" s="14">
        <v>1000</v>
      </c>
      <c r="S143" s="14"/>
      <c r="T143" s="14">
        <v>1000</v>
      </c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>
        <v>7000</v>
      </c>
      <c r="AF143" t="str">
        <f>IF(VLOOKUP(A143,Resources!A:B,2,FALSE)=0,"",VLOOKUP(A143,Resources!A:B,2,FALSE))</f>
        <v>http://www.sourcewatch.org/index.php/Aequus_Foundation</v>
      </c>
    </row>
    <row r="144" spans="1:32" x14ac:dyDescent="0.2">
      <c r="A144" s="12" t="s">
        <v>142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>
        <v>1000</v>
      </c>
      <c r="R144" s="14">
        <v>1000</v>
      </c>
      <c r="S144" s="14">
        <v>4000</v>
      </c>
      <c r="T144" s="14"/>
      <c r="U144" s="14">
        <v>100</v>
      </c>
      <c r="V144" s="14">
        <v>100</v>
      </c>
      <c r="W144" s="14">
        <v>100</v>
      </c>
      <c r="X144" s="14"/>
      <c r="Y144" s="14">
        <v>100</v>
      </c>
      <c r="Z144" s="14">
        <v>100</v>
      </c>
      <c r="AA144" s="14">
        <v>100</v>
      </c>
      <c r="AB144" s="14">
        <v>100</v>
      </c>
      <c r="AC144" s="14">
        <v>100</v>
      </c>
      <c r="AD144" s="14"/>
      <c r="AE144" s="14">
        <v>6800</v>
      </c>
      <c r="AF144" t="str">
        <f>IF(VLOOKUP(A144,Resources!A:B,2,FALSE)=0,"",VLOOKUP(A144,Resources!A:B,2,FALSE))</f>
        <v/>
      </c>
    </row>
    <row r="145" spans="1:32" x14ac:dyDescent="0.2">
      <c r="A145" s="12" t="s">
        <v>143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>
        <v>1000</v>
      </c>
      <c r="Z145" s="14"/>
      <c r="AA145" s="14"/>
      <c r="AB145" s="14"/>
      <c r="AC145" s="14">
        <v>5000</v>
      </c>
      <c r="AD145" s="14"/>
      <c r="AE145" s="14">
        <v>6000</v>
      </c>
      <c r="AF145" t="str">
        <f>IF(VLOOKUP(A145,Resources!A:B,2,FALSE)=0,"",VLOOKUP(A145,Resources!A:B,2,FALSE))</f>
        <v/>
      </c>
    </row>
    <row r="146" spans="1:32" x14ac:dyDescent="0.2">
      <c r="A146" s="12" t="s">
        <v>145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>
        <v>6000</v>
      </c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>
        <v>6000</v>
      </c>
      <c r="AF146" t="str">
        <f>IF(VLOOKUP(A146,Resources!A:B,2,FALSE)=0,"",VLOOKUP(A146,Resources!A:B,2,FALSE))</f>
        <v/>
      </c>
    </row>
    <row r="147" spans="1:32" x14ac:dyDescent="0.2">
      <c r="A147" s="12" t="s">
        <v>144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>
        <v>2000</v>
      </c>
      <c r="T147" s="14">
        <v>4000</v>
      </c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>
        <v>6000</v>
      </c>
      <c r="AF147" t="str">
        <f>IF(VLOOKUP(A147,Resources!A:B,2,FALSE)=0,"",VLOOKUP(A147,Resources!A:B,2,FALSE))</f>
        <v/>
      </c>
    </row>
    <row r="148" spans="1:32" x14ac:dyDescent="0.2">
      <c r="A148" s="12" t="s">
        <v>146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>
        <v>100</v>
      </c>
      <c r="S148" s="14">
        <v>250</v>
      </c>
      <c r="T148" s="14">
        <v>500</v>
      </c>
      <c r="U148" s="14">
        <v>500</v>
      </c>
      <c r="V148" s="14"/>
      <c r="W148" s="14"/>
      <c r="X148" s="14">
        <v>250</v>
      </c>
      <c r="Y148" s="14">
        <v>500</v>
      </c>
      <c r="Z148" s="14"/>
      <c r="AA148" s="14">
        <v>500</v>
      </c>
      <c r="AB148" s="14">
        <v>1000</v>
      </c>
      <c r="AC148" s="14">
        <v>1000</v>
      </c>
      <c r="AD148" s="14">
        <v>1000</v>
      </c>
      <c r="AE148" s="14">
        <v>5600</v>
      </c>
      <c r="AF148" t="str">
        <f>IF(VLOOKUP(A148,Resources!A:B,2,FALSE)=0,"",VLOOKUP(A148,Resources!A:B,2,FALSE))</f>
        <v/>
      </c>
    </row>
    <row r="149" spans="1:32" x14ac:dyDescent="0.2">
      <c r="A149" s="12" t="s">
        <v>148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>
        <v>5000</v>
      </c>
      <c r="S149" s="14"/>
      <c r="T149" s="14"/>
      <c r="U149" s="14"/>
      <c r="V149" s="14"/>
      <c r="W149" s="14"/>
      <c r="X149" s="14"/>
      <c r="Y149" s="14">
        <v>500</v>
      </c>
      <c r="Z149" s="14"/>
      <c r="AA149" s="14"/>
      <c r="AB149" s="14"/>
      <c r="AC149" s="14"/>
      <c r="AD149" s="14"/>
      <c r="AE149" s="14">
        <v>5500</v>
      </c>
      <c r="AF149" t="str">
        <f>IF(VLOOKUP(A149,Resources!A:B,2,FALSE)=0,"",VLOOKUP(A149,Resources!A:B,2,FALSE))</f>
        <v/>
      </c>
    </row>
    <row r="150" spans="1:32" x14ac:dyDescent="0.2">
      <c r="A150" s="12" t="s">
        <v>147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>
        <v>2500</v>
      </c>
      <c r="Z150" s="14">
        <v>3000</v>
      </c>
      <c r="AA150" s="14"/>
      <c r="AB150" s="14"/>
      <c r="AC150" s="14"/>
      <c r="AD150" s="14"/>
      <c r="AE150" s="14">
        <v>5500</v>
      </c>
      <c r="AF150" t="str">
        <f>IF(VLOOKUP(A150,Resources!A:B,2,FALSE)=0,"",VLOOKUP(A150,Resources!A:B,2,FALSE))</f>
        <v/>
      </c>
    </row>
    <row r="151" spans="1:32" x14ac:dyDescent="0.2">
      <c r="A151" s="12" t="s">
        <v>149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1000</v>
      </c>
      <c r="U151" s="14">
        <v>1000</v>
      </c>
      <c r="V151" s="14">
        <v>500</v>
      </c>
      <c r="W151" s="14">
        <v>1000</v>
      </c>
      <c r="X151" s="14">
        <v>500</v>
      </c>
      <c r="Y151" s="14">
        <v>500</v>
      </c>
      <c r="Z151" s="14">
        <v>750</v>
      </c>
      <c r="AA151" s="14"/>
      <c r="AB151" s="14"/>
      <c r="AC151" s="14"/>
      <c r="AD151" s="14"/>
      <c r="AE151" s="14">
        <v>5250</v>
      </c>
      <c r="AF151" t="str">
        <f>IF(VLOOKUP(A151,Resources!A:B,2,FALSE)=0,"",VLOOKUP(A151,Resources!A:B,2,FALSE))</f>
        <v/>
      </c>
    </row>
    <row r="152" spans="1:32" x14ac:dyDescent="0.2">
      <c r="A152" s="12" t="s">
        <v>153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>
        <v>5000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>
        <v>5000</v>
      </c>
      <c r="AF152" t="str">
        <f>IF(VLOOKUP(A152,Resources!A:B,2,FALSE)=0,"",VLOOKUP(A152,Resources!A:B,2,FALSE))</f>
        <v/>
      </c>
    </row>
    <row r="153" spans="1:32" x14ac:dyDescent="0.2">
      <c r="A153" s="12" t="s">
        <v>152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>
        <v>5000</v>
      </c>
      <c r="AE153" s="14">
        <v>5000</v>
      </c>
      <c r="AF153" t="str">
        <f>IF(VLOOKUP(A153,Resources!A:B,2,FALSE)=0,"",VLOOKUP(A153,Resources!A:B,2,FALSE))</f>
        <v/>
      </c>
    </row>
    <row r="154" spans="1:32" x14ac:dyDescent="0.2">
      <c r="A154" s="12" t="s">
        <v>150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>
        <v>1000</v>
      </c>
      <c r="AB154" s="14">
        <v>1000</v>
      </c>
      <c r="AC154" s="14">
        <v>3000</v>
      </c>
      <c r="AD154" s="14"/>
      <c r="AE154" s="14">
        <v>5000</v>
      </c>
      <c r="AF154" t="str">
        <f>IF(VLOOKUP(A154,Resources!A:B,2,FALSE)=0,"",VLOOKUP(A154,Resources!A:B,2,FALSE))</f>
        <v/>
      </c>
    </row>
    <row r="155" spans="1:32" x14ac:dyDescent="0.2">
      <c r="A155" s="12" t="s">
        <v>151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>
        <v>5000</v>
      </c>
      <c r="AD155" s="14"/>
      <c r="AE155" s="14">
        <v>5000</v>
      </c>
      <c r="AF155" t="str">
        <f>IF(VLOOKUP(A155,Resources!A:B,2,FALSE)=0,"",VLOOKUP(A155,Resources!A:B,2,FALSE))</f>
        <v/>
      </c>
    </row>
    <row r="156" spans="1:32" x14ac:dyDescent="0.2">
      <c r="A156" s="12" t="s">
        <v>154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>
        <v>5000</v>
      </c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>
        <v>5000</v>
      </c>
      <c r="AF156" t="str">
        <f>IF(VLOOKUP(A156,Resources!A:B,2,FALSE)=0,"",VLOOKUP(A156,Resources!A:B,2,FALSE))</f>
        <v/>
      </c>
    </row>
    <row r="157" spans="1:32" x14ac:dyDescent="0.2">
      <c r="A157" s="12" t="s">
        <v>155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1000</v>
      </c>
      <c r="V157" s="14">
        <v>1000</v>
      </c>
      <c r="W157" s="14">
        <v>1000</v>
      </c>
      <c r="X157" s="14">
        <v>1000</v>
      </c>
      <c r="Y157" s="14"/>
      <c r="Z157" s="14"/>
      <c r="AA157" s="14"/>
      <c r="AB157" s="14"/>
      <c r="AC157" s="14"/>
      <c r="AD157" s="14"/>
      <c r="AE157" s="14">
        <v>4000</v>
      </c>
      <c r="AF157" t="str">
        <f>IF(VLOOKUP(A157,Resources!A:B,2,FALSE)=0,"",VLOOKUP(A157,Resources!A:B,2,FALSE))</f>
        <v/>
      </c>
    </row>
    <row r="158" spans="1:32" x14ac:dyDescent="0.2">
      <c r="A158" s="12" t="s">
        <v>156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>
        <v>3750</v>
      </c>
      <c r="W158" s="14"/>
      <c r="X158" s="14"/>
      <c r="Y158" s="14"/>
      <c r="Z158" s="14"/>
      <c r="AA158" s="14"/>
      <c r="AB158" s="14"/>
      <c r="AC158" s="14"/>
      <c r="AD158" s="14"/>
      <c r="AE158" s="14">
        <v>3750</v>
      </c>
      <c r="AF158" t="str">
        <f>IF(VLOOKUP(A158,Resources!A:B,2,FALSE)=0,"",VLOOKUP(A158,Resources!A:B,2,FALSE))</f>
        <v/>
      </c>
    </row>
    <row r="159" spans="1:32" x14ac:dyDescent="0.2">
      <c r="A159" s="12" t="s">
        <v>157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>
        <v>500</v>
      </c>
      <c r="W159" s="14"/>
      <c r="X159" s="14"/>
      <c r="Y159" s="14"/>
      <c r="Z159" s="14"/>
      <c r="AA159" s="14">
        <v>1000</v>
      </c>
      <c r="AB159" s="14"/>
      <c r="AC159" s="14"/>
      <c r="AD159" s="14">
        <v>2000</v>
      </c>
      <c r="AE159" s="14">
        <v>3500</v>
      </c>
      <c r="AF159" t="str">
        <f>IF(VLOOKUP(A159,Resources!A:B,2,FALSE)=0,"",VLOOKUP(A159,Resources!A:B,2,FALSE))</f>
        <v/>
      </c>
    </row>
    <row r="160" spans="1:32" x14ac:dyDescent="0.2">
      <c r="A160" s="12" t="s">
        <v>158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>
        <v>1000</v>
      </c>
      <c r="X160" s="14">
        <v>1000</v>
      </c>
      <c r="Y160" s="14">
        <v>1000</v>
      </c>
      <c r="Z160" s="14"/>
      <c r="AA160" s="14"/>
      <c r="AB160" s="14"/>
      <c r="AC160" s="14"/>
      <c r="AD160" s="14"/>
      <c r="AE160" s="14">
        <v>3000</v>
      </c>
      <c r="AF160" t="str">
        <f>IF(VLOOKUP(A160,Resources!A:B,2,FALSE)=0,"",VLOOKUP(A160,Resources!A:B,2,FALSE))</f>
        <v/>
      </c>
    </row>
    <row r="161" spans="1:32" x14ac:dyDescent="0.2">
      <c r="A161" s="12" t="s">
        <v>159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>
        <v>600</v>
      </c>
      <c r="T161" s="14">
        <v>700</v>
      </c>
      <c r="U161" s="14"/>
      <c r="V161" s="14"/>
      <c r="W161" s="14"/>
      <c r="X161" s="14">
        <v>600</v>
      </c>
      <c r="Y161" s="14"/>
      <c r="Z161" s="14"/>
      <c r="AA161" s="14"/>
      <c r="AB161" s="14"/>
      <c r="AC161" s="14">
        <v>1000</v>
      </c>
      <c r="AD161" s="14"/>
      <c r="AE161" s="14">
        <v>2900</v>
      </c>
      <c r="AF161" t="str">
        <f>IF(VLOOKUP(A161,Resources!A:B,2,FALSE)=0,"",VLOOKUP(A161,Resources!A:B,2,FALSE))</f>
        <v/>
      </c>
    </row>
    <row r="162" spans="1:32" x14ac:dyDescent="0.2">
      <c r="A162" s="12" t="s">
        <v>160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>
        <v>100</v>
      </c>
      <c r="T162" s="14"/>
      <c r="U162" s="14">
        <v>500</v>
      </c>
      <c r="V162" s="14"/>
      <c r="W162" s="14">
        <v>300</v>
      </c>
      <c r="X162" s="14">
        <v>1500</v>
      </c>
      <c r="Y162" s="14">
        <v>200</v>
      </c>
      <c r="Z162" s="14"/>
      <c r="AA162" s="14"/>
      <c r="AB162" s="14"/>
      <c r="AC162" s="14"/>
      <c r="AD162" s="14"/>
      <c r="AE162" s="14">
        <v>2600</v>
      </c>
      <c r="AF162" t="str">
        <f>IF(VLOOKUP(A162,Resources!A:B,2,FALSE)=0,"",VLOOKUP(A162,Resources!A:B,2,FALSE))</f>
        <v/>
      </c>
    </row>
    <row r="163" spans="1:32" x14ac:dyDescent="0.2">
      <c r="A163" s="12" t="s">
        <v>161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>
        <v>2500</v>
      </c>
      <c r="Y163" s="14"/>
      <c r="Z163" s="14"/>
      <c r="AA163" s="14"/>
      <c r="AB163" s="14"/>
      <c r="AC163" s="14"/>
      <c r="AD163" s="14"/>
      <c r="AE163" s="14">
        <v>2500</v>
      </c>
      <c r="AF163" t="str">
        <f>IF(VLOOKUP(A163,Resources!A:B,2,FALSE)=0,"",VLOOKUP(A163,Resources!A:B,2,FALSE))</f>
        <v/>
      </c>
    </row>
    <row r="164" spans="1:32" x14ac:dyDescent="0.2">
      <c r="A164" s="12" t="s">
        <v>162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>
        <v>250</v>
      </c>
      <c r="V164" s="14">
        <v>250</v>
      </c>
      <c r="W164" s="14">
        <v>275</v>
      </c>
      <c r="X164" s="14">
        <v>250</v>
      </c>
      <c r="Y164" s="14">
        <v>275</v>
      </c>
      <c r="Z164" s="14">
        <v>300</v>
      </c>
      <c r="AA164" s="14">
        <v>300</v>
      </c>
      <c r="AB164" s="14">
        <v>300</v>
      </c>
      <c r="AC164" s="14">
        <v>300</v>
      </c>
      <c r="AD164" s="14"/>
      <c r="AE164" s="14">
        <v>2500</v>
      </c>
      <c r="AF164" t="str">
        <f>IF(VLOOKUP(A164,Resources!A:B,2,FALSE)=0,"",VLOOKUP(A164,Resources!A:B,2,FALSE))</f>
        <v/>
      </c>
    </row>
    <row r="165" spans="1:32" x14ac:dyDescent="0.2">
      <c r="A165" s="12" t="s">
        <v>163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>
        <v>100</v>
      </c>
      <c r="X165" s="14">
        <v>1000</v>
      </c>
      <c r="Y165" s="14">
        <v>250</v>
      </c>
      <c r="Z165" s="14"/>
      <c r="AA165" s="14"/>
      <c r="AB165" s="14">
        <v>1000</v>
      </c>
      <c r="AC165" s="14"/>
      <c r="AD165" s="14"/>
      <c r="AE165" s="14">
        <v>2350</v>
      </c>
      <c r="AF165" t="str">
        <f>IF(VLOOKUP(A165,Resources!A:B,2,FALSE)=0,"",VLOOKUP(A165,Resources!A:B,2,FALSE))</f>
        <v/>
      </c>
    </row>
    <row r="166" spans="1:32" x14ac:dyDescent="0.2">
      <c r="A166" s="12" t="s">
        <v>164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>
        <v>100</v>
      </c>
      <c r="S166" s="14">
        <v>100</v>
      </c>
      <c r="T166" s="14">
        <v>100</v>
      </c>
      <c r="U166" s="14">
        <v>250</v>
      </c>
      <c r="V166" s="14">
        <v>500</v>
      </c>
      <c r="W166" s="14">
        <v>1000</v>
      </c>
      <c r="X166" s="14"/>
      <c r="Y166" s="14"/>
      <c r="Z166" s="14"/>
      <c r="AA166" s="14"/>
      <c r="AB166" s="14"/>
      <c r="AC166" s="14"/>
      <c r="AD166" s="14"/>
      <c r="AE166" s="14">
        <v>2050</v>
      </c>
      <c r="AF166" t="str">
        <f>IF(VLOOKUP(A166,Resources!A:B,2,FALSE)=0,"",VLOOKUP(A166,Resources!A:B,2,FALSE))</f>
        <v/>
      </c>
    </row>
    <row r="167" spans="1:32" x14ac:dyDescent="0.2">
      <c r="A167" s="12" t="s">
        <v>165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>
        <v>500</v>
      </c>
      <c r="AC167" s="14">
        <v>1500</v>
      </c>
      <c r="AD167" s="14"/>
      <c r="AE167" s="14">
        <v>2000</v>
      </c>
      <c r="AF167" t="str">
        <f>IF(VLOOKUP(A167,Resources!A:B,2,FALSE)=0,"",VLOOKUP(A167,Resources!A:B,2,FALSE))</f>
        <v/>
      </c>
    </row>
    <row r="168" spans="1:32" x14ac:dyDescent="0.2">
      <c r="A168" s="12" t="s">
        <v>168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>
        <v>500</v>
      </c>
      <c r="AC168" s="14">
        <v>1000</v>
      </c>
      <c r="AD168" s="14">
        <v>500</v>
      </c>
      <c r="AE168" s="14">
        <v>2000</v>
      </c>
      <c r="AF168" t="str">
        <f>IF(VLOOKUP(A168,Resources!A:B,2,FALSE)=0,"",VLOOKUP(A168,Resources!A:B,2,FALSE))</f>
        <v/>
      </c>
    </row>
    <row r="169" spans="1:32" x14ac:dyDescent="0.2">
      <c r="A169" s="12" t="s">
        <v>167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>
        <v>2000</v>
      </c>
      <c r="AA169" s="14"/>
      <c r="AB169" s="14"/>
      <c r="AC169" s="14"/>
      <c r="AD169" s="14"/>
      <c r="AE169" s="14">
        <v>2000</v>
      </c>
      <c r="AF169" t="str">
        <f>IF(VLOOKUP(A169,Resources!A:B,2,FALSE)=0,"",VLOOKUP(A169,Resources!A:B,2,FALSE))</f>
        <v/>
      </c>
    </row>
    <row r="170" spans="1:32" x14ac:dyDescent="0.2">
      <c r="A170" s="12" t="s">
        <v>166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>
        <v>1000</v>
      </c>
      <c r="AD170" s="14">
        <v>1000</v>
      </c>
      <c r="AE170" s="14">
        <v>2000</v>
      </c>
      <c r="AF170" t="str">
        <f>IF(VLOOKUP(A170,Resources!A:B,2,FALSE)=0,"",VLOOKUP(A170,Resources!A:B,2,FALSE))</f>
        <v/>
      </c>
    </row>
    <row r="171" spans="1:32" x14ac:dyDescent="0.2">
      <c r="A171" s="12" t="s">
        <v>169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>
        <v>350</v>
      </c>
      <c r="AC171" s="14">
        <v>1000</v>
      </c>
      <c r="AD171" s="14">
        <v>550</v>
      </c>
      <c r="AE171" s="14">
        <v>1900</v>
      </c>
      <c r="AF171" t="str">
        <f>IF(VLOOKUP(A171,Resources!A:B,2,FALSE)=0,"",VLOOKUP(A171,Resources!A:B,2,FALSE))</f>
        <v/>
      </c>
    </row>
    <row r="172" spans="1:32" x14ac:dyDescent="0.2">
      <c r="A172" s="12" t="s">
        <v>170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>
        <v>1250</v>
      </c>
      <c r="AD172" s="14">
        <v>250</v>
      </c>
      <c r="AE172" s="14">
        <v>1500</v>
      </c>
      <c r="AF172" t="str">
        <f>IF(VLOOKUP(A172,Resources!A:B,2,FALSE)=0,"",VLOOKUP(A172,Resources!A:B,2,FALSE))</f>
        <v/>
      </c>
    </row>
    <row r="173" spans="1:32" x14ac:dyDescent="0.2">
      <c r="A173" s="12" t="s">
        <v>171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1000</v>
      </c>
      <c r="V173" s="14">
        <v>500</v>
      </c>
      <c r="W173" s="14"/>
      <c r="X173" s="14"/>
      <c r="Y173" s="14"/>
      <c r="Z173" s="14"/>
      <c r="AA173" s="14"/>
      <c r="AB173" s="14"/>
      <c r="AC173" s="14"/>
      <c r="AD173" s="14"/>
      <c r="AE173" s="14">
        <v>1500</v>
      </c>
      <c r="AF173" t="str">
        <f>IF(VLOOKUP(A173,Resources!A:B,2,FALSE)=0,"",VLOOKUP(A173,Resources!A:B,2,FALSE))</f>
        <v/>
      </c>
    </row>
    <row r="174" spans="1:32" x14ac:dyDescent="0.2">
      <c r="A174" s="12" t="s">
        <v>172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>
        <v>200</v>
      </c>
      <c r="V174" s="14">
        <v>200</v>
      </c>
      <c r="W174" s="14">
        <v>200</v>
      </c>
      <c r="X174" s="14">
        <v>200</v>
      </c>
      <c r="Y174" s="14">
        <v>100</v>
      </c>
      <c r="Z174" s="14">
        <v>100</v>
      </c>
      <c r="AA174" s="14">
        <v>100</v>
      </c>
      <c r="AB174" s="14">
        <v>100</v>
      </c>
      <c r="AC174" s="14">
        <v>100</v>
      </c>
      <c r="AD174" s="14"/>
      <c r="AE174" s="14">
        <v>1300</v>
      </c>
      <c r="AF174" t="str">
        <f>IF(VLOOKUP(A174,Resources!A:B,2,FALSE)=0,"",VLOOKUP(A174,Resources!A:B,2,FALSE))</f>
        <v/>
      </c>
    </row>
    <row r="175" spans="1:32" x14ac:dyDescent="0.2">
      <c r="A175" s="12" t="s">
        <v>173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>
        <v>100</v>
      </c>
      <c r="V175" s="14">
        <v>100</v>
      </c>
      <c r="W175" s="14"/>
      <c r="X175" s="14">
        <v>100</v>
      </c>
      <c r="Y175" s="14">
        <v>200</v>
      </c>
      <c r="Z175" s="14"/>
      <c r="AA175" s="14">
        <v>300</v>
      </c>
      <c r="AB175" s="14">
        <v>100</v>
      </c>
      <c r="AC175" s="14">
        <v>250</v>
      </c>
      <c r="AD175" s="14"/>
      <c r="AE175" s="14">
        <v>1150</v>
      </c>
      <c r="AF175" t="str">
        <f>IF(VLOOKUP(A175,Resources!A:B,2,FALSE)=0,"",VLOOKUP(A175,Resources!A:B,2,FALSE))</f>
        <v/>
      </c>
    </row>
    <row r="176" spans="1:32" x14ac:dyDescent="0.2">
      <c r="A176" s="12" t="s">
        <v>175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>
        <v>1000</v>
      </c>
      <c r="Z176" s="14"/>
      <c r="AA176" s="14"/>
      <c r="AB176" s="14"/>
      <c r="AC176" s="14"/>
      <c r="AD176" s="14"/>
      <c r="AE176" s="14">
        <v>1000</v>
      </c>
      <c r="AF176" t="str">
        <f>IF(VLOOKUP(A176,Resources!A:B,2,FALSE)=0,"",VLOOKUP(A176,Resources!A:B,2,FALSE))</f>
        <v/>
      </c>
    </row>
    <row r="177" spans="1:32" x14ac:dyDescent="0.2">
      <c r="A177" s="12" t="s">
        <v>189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>
        <v>1000</v>
      </c>
      <c r="X177" s="14"/>
      <c r="Y177" s="14"/>
      <c r="Z177" s="14"/>
      <c r="AA177" s="14"/>
      <c r="AB177" s="14"/>
      <c r="AC177" s="14"/>
      <c r="AD177" s="14"/>
      <c r="AE177" s="14">
        <v>1000</v>
      </c>
      <c r="AF177" t="str">
        <f>IF(VLOOKUP(A177,Resources!A:B,2,FALSE)=0,"",VLOOKUP(A177,Resources!A:B,2,FALSE))</f>
        <v>https://www.sourcewatch.org/index.php/Center_for_Independent_Employees</v>
      </c>
    </row>
    <row r="178" spans="1:32" x14ac:dyDescent="0.2">
      <c r="A178" s="12" t="s">
        <v>180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>
        <v>500</v>
      </c>
      <c r="AD178" s="14">
        <v>500</v>
      </c>
      <c r="AE178" s="14">
        <v>1000</v>
      </c>
      <c r="AF178" t="str">
        <f>IF(VLOOKUP(A178,Resources!A:B,2,FALSE)=0,"",VLOOKUP(A178,Resources!A:B,2,FALSE))</f>
        <v/>
      </c>
    </row>
    <row r="179" spans="1:32" x14ac:dyDescent="0.2">
      <c r="A179" s="12" t="s">
        <v>183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>
        <v>1000</v>
      </c>
      <c r="AD179" s="14"/>
      <c r="AE179" s="14">
        <v>1000</v>
      </c>
      <c r="AF179" t="str">
        <f>IF(VLOOKUP(A179,Resources!A:B,2,FALSE)=0,"",VLOOKUP(A179,Resources!A:B,2,FALSE))</f>
        <v/>
      </c>
    </row>
    <row r="180" spans="1:32" x14ac:dyDescent="0.2">
      <c r="A180" s="12" t="s">
        <v>184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>
        <v>1000</v>
      </c>
      <c r="AD180" s="14"/>
      <c r="AE180" s="14">
        <v>1000</v>
      </c>
      <c r="AF180" t="str">
        <f>IF(VLOOKUP(A180,Resources!A:B,2,FALSE)=0,"",VLOOKUP(A180,Resources!A:B,2,FALSE))</f>
        <v/>
      </c>
    </row>
    <row r="181" spans="1:32" x14ac:dyDescent="0.2">
      <c r="A181" s="12" t="s">
        <v>179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>
        <v>250</v>
      </c>
      <c r="AB181" s="14">
        <v>250</v>
      </c>
      <c r="AC181" s="14">
        <v>250</v>
      </c>
      <c r="AD181" s="14">
        <v>250</v>
      </c>
      <c r="AE181" s="14">
        <v>1000</v>
      </c>
      <c r="AF181" t="str">
        <f>IF(VLOOKUP(A181,Resources!A:B,2,FALSE)=0,"",VLOOKUP(A181,Resources!A:B,2,FALSE))</f>
        <v/>
      </c>
    </row>
    <row r="182" spans="1:32" x14ac:dyDescent="0.2">
      <c r="A182" s="12" t="s">
        <v>181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>
        <v>1000</v>
      </c>
      <c r="AC182" s="14"/>
      <c r="AD182" s="14"/>
      <c r="AE182" s="14">
        <v>1000</v>
      </c>
      <c r="AF182" t="str">
        <f>IF(VLOOKUP(A182,Resources!A:B,2,FALSE)=0,"",VLOOKUP(A182,Resources!A:B,2,FALSE))</f>
        <v/>
      </c>
    </row>
    <row r="183" spans="1:32" x14ac:dyDescent="0.2">
      <c r="A183" s="12" t="s">
        <v>186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>
        <v>1000</v>
      </c>
      <c r="AA183" s="14"/>
      <c r="AB183" s="14"/>
      <c r="AC183" s="14"/>
      <c r="AD183" s="14"/>
      <c r="AE183" s="14">
        <v>1000</v>
      </c>
      <c r="AF183" t="str">
        <f>IF(VLOOKUP(A183,Resources!A:B,2,FALSE)=0,"",VLOOKUP(A183,Resources!A:B,2,FALSE))</f>
        <v>https://www.sourcewatch.org/index.php/Farmer_Family_Foundation</v>
      </c>
    </row>
    <row r="184" spans="1:32" x14ac:dyDescent="0.2">
      <c r="A184" s="12" t="s">
        <v>174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>
        <v>1000</v>
      </c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>
        <v>1000</v>
      </c>
      <c r="AF184" t="str">
        <f>IF(VLOOKUP(A184,Resources!A:B,2,FALSE)=0,"",VLOOKUP(A184,Resources!A:B,2,FALSE))</f>
        <v>http://www.sourcewatch.org/index.php/Thomas_B._Fordham_Foundation</v>
      </c>
    </row>
    <row r="185" spans="1:32" x14ac:dyDescent="0.2">
      <c r="A185" s="12" t="s">
        <v>187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>
        <v>1000</v>
      </c>
      <c r="AA185" s="14"/>
      <c r="AB185" s="14"/>
      <c r="AC185" s="14"/>
      <c r="AD185" s="14"/>
      <c r="AE185" s="14">
        <v>1000</v>
      </c>
      <c r="AF185" t="str">
        <f>IF(VLOOKUP(A185,Resources!A:B,2,FALSE)=0,"",VLOOKUP(A185,Resources!A:B,2,FALSE))</f>
        <v/>
      </c>
    </row>
    <row r="186" spans="1:32" x14ac:dyDescent="0.2">
      <c r="A186" s="12" t="s">
        <v>176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>
        <v>1000</v>
      </c>
      <c r="AC186" s="14"/>
      <c r="AD186" s="14"/>
      <c r="AE186" s="14">
        <v>1000</v>
      </c>
      <c r="AF186" t="str">
        <f>IF(VLOOKUP(A186,Resources!A:B,2,FALSE)=0,"",VLOOKUP(A186,Resources!A:B,2,FALSE))</f>
        <v>https://www.sourcewatch.org/index.php/Snider_Foundation</v>
      </c>
    </row>
    <row r="187" spans="1:32" x14ac:dyDescent="0.2">
      <c r="A187" s="12" t="s">
        <v>182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>
        <v>1000</v>
      </c>
      <c r="AB187" s="14"/>
      <c r="AC187" s="14"/>
      <c r="AD187" s="14"/>
      <c r="AE187" s="14">
        <v>1000</v>
      </c>
      <c r="AF187" t="str">
        <f>IF(VLOOKUP(A187,Resources!A:B,2,FALSE)=0,"",VLOOKUP(A187,Resources!A:B,2,FALSE))</f>
        <v/>
      </c>
    </row>
    <row r="188" spans="1:32" x14ac:dyDescent="0.2">
      <c r="A188" s="12" t="s">
        <v>185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>
        <v>500</v>
      </c>
      <c r="AC188" s="14">
        <v>500</v>
      </c>
      <c r="AD188" s="14"/>
      <c r="AE188" s="14">
        <v>1000</v>
      </c>
      <c r="AF188" t="str">
        <f>IF(VLOOKUP(A188,Resources!A:B,2,FALSE)=0,"",VLOOKUP(A188,Resources!A:B,2,FALSE))</f>
        <v/>
      </c>
    </row>
    <row r="189" spans="1:32" x14ac:dyDescent="0.2">
      <c r="A189" s="12" t="s">
        <v>177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>
        <v>1000</v>
      </c>
      <c r="X189" s="14"/>
      <c r="Y189" s="14"/>
      <c r="Z189" s="14"/>
      <c r="AA189" s="14"/>
      <c r="AB189" s="14"/>
      <c r="AC189" s="14"/>
      <c r="AD189" s="14"/>
      <c r="AE189" s="14">
        <v>1000</v>
      </c>
      <c r="AF189" t="str">
        <f>IF(VLOOKUP(A189,Resources!A:B,2,FALSE)=0,"",VLOOKUP(A189,Resources!A:B,2,FALSE))</f>
        <v/>
      </c>
    </row>
    <row r="190" spans="1:32" x14ac:dyDescent="0.2">
      <c r="A190" s="12" t="s">
        <v>190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>
        <v>500</v>
      </c>
      <c r="Y190" s="14">
        <v>500</v>
      </c>
      <c r="Z190" s="14"/>
      <c r="AA190" s="14"/>
      <c r="AB190" s="14"/>
      <c r="AC190" s="14"/>
      <c r="AD190" s="14"/>
      <c r="AE190" s="14">
        <v>1000</v>
      </c>
      <c r="AF190" t="str">
        <f>IF(VLOOKUP(A190,Resources!A:B,2,FALSE)=0,"",VLOOKUP(A190,Resources!A:B,2,FALSE))</f>
        <v/>
      </c>
    </row>
    <row r="191" spans="1:32" x14ac:dyDescent="0.2">
      <c r="A191" s="12" t="s">
        <v>178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>
        <v>1000</v>
      </c>
      <c r="Y191" s="14"/>
      <c r="Z191" s="14"/>
      <c r="AA191" s="14"/>
      <c r="AB191" s="14"/>
      <c r="AC191" s="14"/>
      <c r="AD191" s="14"/>
      <c r="AE191" s="14">
        <v>1000</v>
      </c>
      <c r="AF191" t="str">
        <f>IF(VLOOKUP(A191,Resources!A:B,2,FALSE)=0,"",VLOOKUP(A191,Resources!A:B,2,FALSE))</f>
        <v/>
      </c>
    </row>
    <row r="192" spans="1:32" x14ac:dyDescent="0.2">
      <c r="A192" s="12" t="s">
        <v>188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>
        <v>1000</v>
      </c>
      <c r="AD192" s="14"/>
      <c r="AE192" s="14">
        <v>1000</v>
      </c>
      <c r="AF192" t="str">
        <f>IF(VLOOKUP(A192,Resources!A:B,2,FALSE)=0,"",VLOOKUP(A192,Resources!A:B,2,FALSE))</f>
        <v/>
      </c>
    </row>
    <row r="193" spans="1:32" x14ac:dyDescent="0.2">
      <c r="A193" s="12" t="s">
        <v>191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>
        <v>250</v>
      </c>
      <c r="T193" s="14">
        <v>500</v>
      </c>
      <c r="U193" s="14">
        <v>200</v>
      </c>
      <c r="V193" s="14"/>
      <c r="W193" s="14"/>
      <c r="X193" s="14"/>
      <c r="Y193" s="14"/>
      <c r="Z193" s="14"/>
      <c r="AA193" s="14"/>
      <c r="AB193" s="14"/>
      <c r="AC193" s="14"/>
      <c r="AD193" s="14"/>
      <c r="AE193" s="14">
        <v>950</v>
      </c>
      <c r="AF193" t="str">
        <f>IF(VLOOKUP(A193,Resources!A:B,2,FALSE)=0,"",VLOOKUP(A193,Resources!A:B,2,FALSE))</f>
        <v/>
      </c>
    </row>
    <row r="194" spans="1:32" x14ac:dyDescent="0.2">
      <c r="A194" s="12" t="s">
        <v>192</v>
      </c>
      <c r="B194" s="14"/>
      <c r="C194" s="14"/>
      <c r="D194" s="14"/>
      <c r="E194" s="14"/>
      <c r="F194" s="14"/>
      <c r="G194" s="14"/>
      <c r="H194" s="14"/>
      <c r="I194" s="14"/>
      <c r="J194" s="14">
        <v>250</v>
      </c>
      <c r="K194" s="14"/>
      <c r="L194" s="14">
        <v>500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>
        <v>750</v>
      </c>
      <c r="AF194" t="str">
        <f>IF(VLOOKUP(A194,Resources!A:B,2,FALSE)=0,"",VLOOKUP(A194,Resources!A:B,2,FALSE))</f>
        <v>https://www.sourcewatch.org/index.php/Achelis_and_Bodman_Foundations</v>
      </c>
    </row>
    <row r="195" spans="1:32" x14ac:dyDescent="0.2">
      <c r="A195" s="12" t="s">
        <v>194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>
        <v>200</v>
      </c>
      <c r="AA195" s="14">
        <v>100</v>
      </c>
      <c r="AB195" s="14">
        <v>100</v>
      </c>
      <c r="AC195" s="14">
        <v>100</v>
      </c>
      <c r="AD195" s="14">
        <v>100</v>
      </c>
      <c r="AE195" s="14">
        <v>600</v>
      </c>
      <c r="AF195" t="str">
        <f>IF(VLOOKUP(A195,Resources!A:B,2,FALSE)=0,"",VLOOKUP(A195,Resources!A:B,2,FALSE))</f>
        <v/>
      </c>
    </row>
    <row r="196" spans="1:32" x14ac:dyDescent="0.2">
      <c r="A196" s="12" t="s">
        <v>193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>
        <v>250</v>
      </c>
      <c r="S196" s="14">
        <v>250</v>
      </c>
      <c r="T196" s="14">
        <v>100</v>
      </c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>
        <v>600</v>
      </c>
      <c r="AF196" t="str">
        <f>IF(VLOOKUP(A196,Resources!A:B,2,FALSE)=0,"",VLOOKUP(A196,Resources!A:B,2,FALSE))</f>
        <v/>
      </c>
    </row>
    <row r="197" spans="1:32" x14ac:dyDescent="0.2">
      <c r="A197" s="12" t="s">
        <v>195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>
        <v>525</v>
      </c>
      <c r="AC197" s="14"/>
      <c r="AD197" s="14"/>
      <c r="AE197" s="14">
        <v>525</v>
      </c>
      <c r="AF197" t="str">
        <f>IF(VLOOKUP(A197,Resources!A:B,2,FALSE)=0,"",VLOOKUP(A197,Resources!A:B,2,FALSE))</f>
        <v>https://www.sourcewatch.org/index.php/General_Electric</v>
      </c>
    </row>
    <row r="198" spans="1:32" x14ac:dyDescent="0.2">
      <c r="A198" s="12" t="s">
        <v>196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>
        <v>130</v>
      </c>
      <c r="W198" s="14"/>
      <c r="X198" s="14">
        <v>30</v>
      </c>
      <c r="Y198" s="14"/>
      <c r="Z198" s="14">
        <v>100</v>
      </c>
      <c r="AA198" s="14">
        <v>150</v>
      </c>
      <c r="AB198" s="14"/>
      <c r="AC198" s="14">
        <v>100</v>
      </c>
      <c r="AD198" s="14"/>
      <c r="AE198" s="14">
        <v>510</v>
      </c>
      <c r="AF198" t="str">
        <f>IF(VLOOKUP(A198,Resources!A:B,2,FALSE)=0,"",VLOOKUP(A198,Resources!A:B,2,FALSE))</f>
        <v>https://www.desmog.com/shellknew/</v>
      </c>
    </row>
    <row r="199" spans="1:32" x14ac:dyDescent="0.2">
      <c r="A199" s="12" t="s">
        <v>203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>
        <v>500</v>
      </c>
      <c r="AD199" s="14"/>
      <c r="AE199" s="14">
        <v>500</v>
      </c>
      <c r="AF199" t="str">
        <f>IF(VLOOKUP(A199,Resources!A:B,2,FALSE)=0,"",VLOOKUP(A199,Resources!A:B,2,FALSE))</f>
        <v/>
      </c>
    </row>
    <row r="200" spans="1:32" x14ac:dyDescent="0.2">
      <c r="A200" s="12" t="s">
        <v>205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>
        <v>500</v>
      </c>
      <c r="AD200" s="14"/>
      <c r="AE200" s="14">
        <v>500</v>
      </c>
      <c r="AF200" t="str">
        <f>IF(VLOOKUP(A200,Resources!A:B,2,FALSE)=0,"",VLOOKUP(A200,Resources!A:B,2,FALSE))</f>
        <v/>
      </c>
    </row>
    <row r="201" spans="1:32" x14ac:dyDescent="0.2">
      <c r="A201" s="12" t="s">
        <v>202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>
        <v>500</v>
      </c>
      <c r="AE201" s="14">
        <v>500</v>
      </c>
      <c r="AF201" t="str">
        <f>IF(VLOOKUP(A201,Resources!A:B,2,FALSE)=0,"",VLOOKUP(A201,Resources!A:B,2,FALSE))</f>
        <v/>
      </c>
    </row>
    <row r="202" spans="1:32" x14ac:dyDescent="0.2">
      <c r="A202" s="12" t="s">
        <v>201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>
        <v>500</v>
      </c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>
        <v>500</v>
      </c>
      <c r="AF202" t="str">
        <f>IF(VLOOKUP(A202,Resources!A:B,2,FALSE)=0,"",VLOOKUP(A202,Resources!A:B,2,FALSE))</f>
        <v/>
      </c>
    </row>
    <row r="203" spans="1:32" x14ac:dyDescent="0.2">
      <c r="A203" s="12" t="s">
        <v>198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>
        <v>500</v>
      </c>
      <c r="W203" s="14"/>
      <c r="X203" s="14"/>
      <c r="Y203" s="14"/>
      <c r="Z203" s="14"/>
      <c r="AA203" s="14"/>
      <c r="AB203" s="14"/>
      <c r="AC203" s="14"/>
      <c r="AD203" s="14"/>
      <c r="AE203" s="14">
        <v>500</v>
      </c>
      <c r="AF203" t="str">
        <f>IF(VLOOKUP(A203,Resources!A:B,2,FALSE)=0,"",VLOOKUP(A203,Resources!A:B,2,FALSE))</f>
        <v/>
      </c>
    </row>
    <row r="204" spans="1:32" x14ac:dyDescent="0.2">
      <c r="A204" s="12" t="s">
        <v>197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>
        <v>500</v>
      </c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>
        <v>500</v>
      </c>
      <c r="AF204" t="str">
        <f>IF(VLOOKUP(A204,Resources!A:B,2,FALSE)=0,"",VLOOKUP(A204,Resources!A:B,2,FALSE))</f>
        <v/>
      </c>
    </row>
    <row r="205" spans="1:32" x14ac:dyDescent="0.2">
      <c r="A205" s="12" t="s">
        <v>200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>
        <v>500</v>
      </c>
      <c r="X205" s="14"/>
      <c r="Y205" s="14"/>
      <c r="Z205" s="14"/>
      <c r="AA205" s="14"/>
      <c r="AB205" s="14"/>
      <c r="AC205" s="14"/>
      <c r="AD205" s="14"/>
      <c r="AE205" s="14">
        <v>500</v>
      </c>
      <c r="AF205" t="str">
        <f>IF(VLOOKUP(A205,Resources!A:B,2,FALSE)=0,"",VLOOKUP(A205,Resources!A:B,2,FALSE))</f>
        <v/>
      </c>
    </row>
    <row r="206" spans="1:32" x14ac:dyDescent="0.2">
      <c r="A206" s="12" t="s">
        <v>204</v>
      </c>
      <c r="B206" s="14"/>
      <c r="C206" s="14"/>
      <c r="D206" s="14"/>
      <c r="E206" s="14"/>
      <c r="F206" s="14"/>
      <c r="G206" s="14"/>
      <c r="H206" s="14"/>
      <c r="I206" s="14"/>
      <c r="J206" s="14">
        <v>500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>
        <v>500</v>
      </c>
      <c r="AF206" t="str">
        <f>IF(VLOOKUP(A206,Resources!A:B,2,FALSE)=0,"",VLOOKUP(A206,Resources!A:B,2,FALSE))</f>
        <v>https://www.desmogblog.com/americans-tax-reform</v>
      </c>
    </row>
    <row r="207" spans="1:32" x14ac:dyDescent="0.2">
      <c r="A207" s="12" t="s">
        <v>199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>
        <v>500</v>
      </c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>
        <v>500</v>
      </c>
      <c r="AF207" t="str">
        <f>IF(VLOOKUP(A207,Resources!A:B,2,FALSE)=0,"",VLOOKUP(A207,Resources!A:B,2,FALSE))</f>
        <v/>
      </c>
    </row>
    <row r="208" spans="1:32" x14ac:dyDescent="0.2">
      <c r="A208" s="12" t="s">
        <v>206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>
        <v>400</v>
      </c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>
        <v>400</v>
      </c>
      <c r="AF208" t="str">
        <f>IF(VLOOKUP(A208,Resources!A:B,2,FALSE)=0,"",VLOOKUP(A208,Resources!A:B,2,FALSE))</f>
        <v/>
      </c>
    </row>
    <row r="209" spans="1:32" x14ac:dyDescent="0.2">
      <c r="A209" s="12" t="s">
        <v>207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>
        <v>100</v>
      </c>
      <c r="AC209" s="14">
        <v>300</v>
      </c>
      <c r="AD209" s="14"/>
      <c r="AE209" s="14">
        <v>400</v>
      </c>
      <c r="AF209" t="str">
        <f>IF(VLOOKUP(A209,Resources!A:B,2,FALSE)=0,"",VLOOKUP(A209,Resources!A:B,2,FALSE))</f>
        <v/>
      </c>
    </row>
    <row r="210" spans="1:32" x14ac:dyDescent="0.2">
      <c r="A210" s="12" t="s">
        <v>208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>
        <v>300</v>
      </c>
      <c r="W210" s="14"/>
      <c r="X210" s="14"/>
      <c r="Y210" s="14"/>
      <c r="Z210" s="14"/>
      <c r="AA210" s="14"/>
      <c r="AB210" s="14"/>
      <c r="AC210" s="14"/>
      <c r="AD210" s="14"/>
      <c r="AE210" s="14">
        <v>300</v>
      </c>
      <c r="AF210" t="str">
        <f>IF(VLOOKUP(A210,Resources!A:B,2,FALSE)=0,"",VLOOKUP(A210,Resources!A:B,2,FALSE))</f>
        <v/>
      </c>
    </row>
    <row r="211" spans="1:32" x14ac:dyDescent="0.2">
      <c r="A211" s="12" t="s">
        <v>209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>
        <v>50</v>
      </c>
      <c r="X211" s="14"/>
      <c r="Y211" s="14">
        <v>25</v>
      </c>
      <c r="Z211" s="14"/>
      <c r="AA211" s="14">
        <v>100</v>
      </c>
      <c r="AB211" s="14">
        <v>100</v>
      </c>
      <c r="AC211" s="14"/>
      <c r="AD211" s="14"/>
      <c r="AE211" s="14">
        <v>275</v>
      </c>
      <c r="AF211" t="str">
        <f>IF(VLOOKUP(A211,Resources!A:B,2,FALSE)=0,"",VLOOKUP(A211,Resources!A:B,2,FALSE))</f>
        <v/>
      </c>
    </row>
    <row r="212" spans="1:32" x14ac:dyDescent="0.2">
      <c r="A212" s="12" t="s">
        <v>215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>
        <v>250</v>
      </c>
      <c r="AD212" s="14"/>
      <c r="AE212" s="14">
        <v>250</v>
      </c>
      <c r="AF212" t="str">
        <f>IF(VLOOKUP(A212,Resources!A:B,2,FALSE)=0,"",VLOOKUP(A212,Resources!A:B,2,FALSE))</f>
        <v/>
      </c>
    </row>
    <row r="213" spans="1:32" x14ac:dyDescent="0.2">
      <c r="A213" s="12" t="s">
        <v>214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>
        <v>100</v>
      </c>
      <c r="AB213" s="14">
        <v>50</v>
      </c>
      <c r="AC213" s="14"/>
      <c r="AD213" s="14">
        <v>100</v>
      </c>
      <c r="AE213" s="14">
        <v>250</v>
      </c>
      <c r="AF213" t="str">
        <f>IF(VLOOKUP(A213,Resources!A:B,2,FALSE)=0,"",VLOOKUP(A213,Resources!A:B,2,FALSE))</f>
        <v/>
      </c>
    </row>
    <row r="214" spans="1:32" x14ac:dyDescent="0.2">
      <c r="A214" s="12" t="s">
        <v>212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>
        <v>250</v>
      </c>
      <c r="X214" s="14"/>
      <c r="Y214" s="14"/>
      <c r="Z214" s="14"/>
      <c r="AA214" s="14"/>
      <c r="AB214" s="14"/>
      <c r="AC214" s="14"/>
      <c r="AD214" s="14"/>
      <c r="AE214" s="14">
        <v>250</v>
      </c>
      <c r="AF214" t="str">
        <f>IF(VLOOKUP(A214,Resources!A:B,2,FALSE)=0,"",VLOOKUP(A214,Resources!A:B,2,FALSE))</f>
        <v/>
      </c>
    </row>
    <row r="215" spans="1:32" x14ac:dyDescent="0.2">
      <c r="A215" s="12" t="s">
        <v>211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>
        <v>250</v>
      </c>
      <c r="AA215" s="14"/>
      <c r="AB215" s="14"/>
      <c r="AC215" s="14"/>
      <c r="AD215" s="14"/>
      <c r="AE215" s="14">
        <v>250</v>
      </c>
      <c r="AF215" t="str">
        <f>IF(VLOOKUP(A215,Resources!A:B,2,FALSE)=0,"",VLOOKUP(A215,Resources!A:B,2,FALSE))</f>
        <v/>
      </c>
    </row>
    <row r="216" spans="1:32" x14ac:dyDescent="0.2">
      <c r="A216" s="12" t="s">
        <v>213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>
        <v>250</v>
      </c>
      <c r="AD216" s="14"/>
      <c r="AE216" s="14">
        <v>250</v>
      </c>
      <c r="AF216" t="str">
        <f>IF(VLOOKUP(A216,Resources!A:B,2,FALSE)=0,"",VLOOKUP(A216,Resources!A:B,2,FALSE))</f>
        <v/>
      </c>
    </row>
    <row r="217" spans="1:32" x14ac:dyDescent="0.2">
      <c r="A217" s="12" t="s">
        <v>216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>
        <v>250</v>
      </c>
      <c r="AD217" s="14"/>
      <c r="AE217" s="14">
        <v>250</v>
      </c>
      <c r="AF217" t="str">
        <f>IF(VLOOKUP(A217,Resources!A:B,2,FALSE)=0,"",VLOOKUP(A217,Resources!A:B,2,FALSE))</f>
        <v/>
      </c>
    </row>
    <row r="218" spans="1:32" x14ac:dyDescent="0.2">
      <c r="A218" s="12" t="s">
        <v>210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>
        <v>250</v>
      </c>
      <c r="AE218" s="14">
        <v>250</v>
      </c>
      <c r="AF218" t="str">
        <f>IF(VLOOKUP(A218,Resources!A:B,2,FALSE)=0,"",VLOOKUP(A218,Resources!A:B,2,FALSE))</f>
        <v/>
      </c>
    </row>
    <row r="219" spans="1:32" x14ac:dyDescent="0.2">
      <c r="A219" s="12" t="s">
        <v>217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>
        <v>200</v>
      </c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>
        <v>200</v>
      </c>
      <c r="AF219" t="str">
        <f>IF(VLOOKUP(A219,Resources!A:B,2,FALSE)=0,"",VLOOKUP(A219,Resources!A:B,2,FALSE))</f>
        <v/>
      </c>
    </row>
    <row r="220" spans="1:32" x14ac:dyDescent="0.2">
      <c r="A220" s="12" t="s">
        <v>219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>
        <v>200</v>
      </c>
      <c r="AB220" s="14"/>
      <c r="AC220" s="14"/>
      <c r="AD220" s="14"/>
      <c r="AE220" s="14">
        <v>200</v>
      </c>
      <c r="AF220" t="str">
        <f>IF(VLOOKUP(A220,Resources!A:B,2,FALSE)=0,"",VLOOKUP(A220,Resources!A:B,2,FALSE))</f>
        <v/>
      </c>
    </row>
    <row r="221" spans="1:32" x14ac:dyDescent="0.2">
      <c r="A221" s="12" t="s">
        <v>218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>
        <v>100</v>
      </c>
      <c r="X221" s="14"/>
      <c r="Y221" s="14">
        <v>100</v>
      </c>
      <c r="Z221" s="14"/>
      <c r="AA221" s="14"/>
      <c r="AB221" s="14"/>
      <c r="AC221" s="14"/>
      <c r="AD221" s="14"/>
      <c r="AE221" s="14">
        <v>200</v>
      </c>
      <c r="AF221" t="str">
        <f>IF(VLOOKUP(A221,Resources!A:B,2,FALSE)=0,"",VLOOKUP(A221,Resources!A:B,2,FALSE))</f>
        <v/>
      </c>
    </row>
    <row r="222" spans="1:32" x14ac:dyDescent="0.2">
      <c r="A222" s="12" t="s">
        <v>220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>
        <v>190</v>
      </c>
      <c r="AD222" s="14"/>
      <c r="AE222" s="14">
        <v>190</v>
      </c>
      <c r="AF222" t="str">
        <f>IF(VLOOKUP(A222,Resources!A:B,2,FALSE)=0,"",VLOOKUP(A222,Resources!A:B,2,FALSE))</f>
        <v/>
      </c>
    </row>
    <row r="223" spans="1:32" x14ac:dyDescent="0.2">
      <c r="A223" s="12" t="s">
        <v>221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>
        <v>125</v>
      </c>
      <c r="X223" s="14"/>
      <c r="Y223" s="14"/>
      <c r="Z223" s="14"/>
      <c r="AA223" s="14"/>
      <c r="AB223" s="14"/>
      <c r="AC223" s="14"/>
      <c r="AD223" s="14"/>
      <c r="AE223" s="14">
        <v>125</v>
      </c>
      <c r="AF223" t="str">
        <f>IF(VLOOKUP(A223,Resources!A:B,2,FALSE)=0,"",VLOOKUP(A223,Resources!A:B,2,FALSE))</f>
        <v/>
      </c>
    </row>
    <row r="224" spans="1:32" x14ac:dyDescent="0.2">
      <c r="A224" s="12" t="s">
        <v>226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>
        <v>100</v>
      </c>
      <c r="AC224" s="14"/>
      <c r="AD224" s="14"/>
      <c r="AE224" s="14">
        <v>100</v>
      </c>
      <c r="AF224" t="str">
        <f>IF(VLOOKUP(A224,Resources!A:B,2,FALSE)=0,"",VLOOKUP(A224,Resources!A:B,2,FALSE))</f>
        <v/>
      </c>
    </row>
    <row r="225" spans="1:32" x14ac:dyDescent="0.2">
      <c r="A225" s="12" t="s">
        <v>223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>
        <v>100</v>
      </c>
      <c r="AD225" s="14"/>
      <c r="AE225" s="14">
        <v>100</v>
      </c>
      <c r="AF225" t="str">
        <f>IF(VLOOKUP(A225,Resources!A:B,2,FALSE)=0,"",VLOOKUP(A225,Resources!A:B,2,FALSE))</f>
        <v>https://www.sourcewatch.org/index.php/Pfizer_Inc</v>
      </c>
    </row>
    <row r="226" spans="1:32" x14ac:dyDescent="0.2">
      <c r="A226" s="12" t="s">
        <v>222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>
        <v>100</v>
      </c>
      <c r="AC226" s="14"/>
      <c r="AD226" s="14"/>
      <c r="AE226" s="14">
        <v>100</v>
      </c>
      <c r="AF226" t="str">
        <f>IF(VLOOKUP(A226,Resources!A:B,2,FALSE)=0,"",VLOOKUP(A226,Resources!A:B,2,FALSE))</f>
        <v/>
      </c>
    </row>
    <row r="227" spans="1:32" x14ac:dyDescent="0.2">
      <c r="A227" s="12" t="s">
        <v>227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>
        <v>100</v>
      </c>
      <c r="V227" s="14"/>
      <c r="W227" s="14"/>
      <c r="X227" s="14"/>
      <c r="Y227" s="14"/>
      <c r="Z227" s="14"/>
      <c r="AA227" s="14"/>
      <c r="AB227" s="14"/>
      <c r="AC227" s="14"/>
      <c r="AD227" s="14"/>
      <c r="AE227" s="14">
        <v>100</v>
      </c>
      <c r="AF227" t="str">
        <f>IF(VLOOKUP(A227,Resources!A:B,2,FALSE)=0,"",VLOOKUP(A227,Resources!A:B,2,FALSE))</f>
        <v/>
      </c>
    </row>
    <row r="228" spans="1:32" x14ac:dyDescent="0.2">
      <c r="A228" s="12" t="s">
        <v>229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>
        <v>100</v>
      </c>
      <c r="AB228" s="14"/>
      <c r="AC228" s="14"/>
      <c r="AD228" s="14"/>
      <c r="AE228" s="14">
        <v>100</v>
      </c>
      <c r="AF228" t="str">
        <f>IF(VLOOKUP(A228,Resources!A:B,2,FALSE)=0,"",VLOOKUP(A228,Resources!A:B,2,FALSE))</f>
        <v/>
      </c>
    </row>
    <row r="229" spans="1:32" x14ac:dyDescent="0.2">
      <c r="A229" s="12" t="s">
        <v>224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>
        <v>100</v>
      </c>
      <c r="Z229" s="14"/>
      <c r="AA229" s="14"/>
      <c r="AB229" s="14"/>
      <c r="AC229" s="14"/>
      <c r="AD229" s="14"/>
      <c r="AE229" s="14">
        <v>100</v>
      </c>
      <c r="AF229" t="str">
        <f>IF(VLOOKUP(A229,Resources!A:B,2,FALSE)=0,"",VLOOKUP(A229,Resources!A:B,2,FALSE))</f>
        <v/>
      </c>
    </row>
    <row r="230" spans="1:32" x14ac:dyDescent="0.2">
      <c r="A230" s="12" t="s">
        <v>225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>
        <v>100</v>
      </c>
      <c r="Y230" s="14"/>
      <c r="Z230" s="14"/>
      <c r="AA230" s="14"/>
      <c r="AB230" s="14"/>
      <c r="AC230" s="14"/>
      <c r="AD230" s="14"/>
      <c r="AE230" s="14">
        <v>100</v>
      </c>
      <c r="AF230" t="str">
        <f>IF(VLOOKUP(A230,Resources!A:B,2,FALSE)=0,"",VLOOKUP(A230,Resources!A:B,2,FALSE))</f>
        <v/>
      </c>
    </row>
    <row r="231" spans="1:32" x14ac:dyDescent="0.2">
      <c r="A231" s="12" t="s">
        <v>228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>
        <v>100</v>
      </c>
      <c r="X231" s="14"/>
      <c r="Y231" s="14"/>
      <c r="Z231" s="14"/>
      <c r="AA231" s="14"/>
      <c r="AB231" s="14"/>
      <c r="AC231" s="14"/>
      <c r="AD231" s="14"/>
      <c r="AE231" s="14">
        <v>100</v>
      </c>
      <c r="AF231" t="str">
        <f>IF(VLOOKUP(A231,Resources!A:B,2,FALSE)=0,"",VLOOKUP(A231,Resources!A:B,2,FALSE))</f>
        <v/>
      </c>
    </row>
    <row r="232" spans="1:32" x14ac:dyDescent="0.2">
      <c r="A232" s="12" t="s">
        <v>230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25</v>
      </c>
      <c r="V232" s="14">
        <v>25</v>
      </c>
      <c r="W232" s="14"/>
      <c r="X232" s="14"/>
      <c r="Y232" s="14"/>
      <c r="Z232" s="14"/>
      <c r="AA232" s="14"/>
      <c r="AB232" s="14"/>
      <c r="AC232" s="14"/>
      <c r="AD232" s="14"/>
      <c r="AE232" s="14">
        <v>50</v>
      </c>
      <c r="AF232" t="str">
        <f>IF(VLOOKUP(A232,Resources!A:B,2,FALSE)=0,"",VLOOKUP(A232,Resources!A:B,2,FALSE))</f>
        <v/>
      </c>
    </row>
    <row r="233" spans="1:32" x14ac:dyDescent="0.2">
      <c r="A233" s="12" t="s">
        <v>7</v>
      </c>
      <c r="B233" s="14">
        <v>50000</v>
      </c>
      <c r="C233" s="14">
        <v>25000</v>
      </c>
      <c r="D233" s="14">
        <v>25000</v>
      </c>
      <c r="E233" s="14">
        <v>40000</v>
      </c>
      <c r="F233" s="14">
        <v>86000</v>
      </c>
      <c r="G233" s="14">
        <v>200000</v>
      </c>
      <c r="H233" s="14">
        <v>136000</v>
      </c>
      <c r="I233" s="14">
        <v>180500</v>
      </c>
      <c r="J233" s="14">
        <v>231750</v>
      </c>
      <c r="K233" s="14">
        <v>211500</v>
      </c>
      <c r="L233" s="14">
        <v>261610</v>
      </c>
      <c r="M233" s="14">
        <v>315500</v>
      </c>
      <c r="N233" s="14">
        <v>738700</v>
      </c>
      <c r="O233" s="14">
        <v>2205700</v>
      </c>
      <c r="P233" s="14">
        <v>2260650</v>
      </c>
      <c r="Q233" s="14">
        <v>3300065</v>
      </c>
      <c r="R233" s="14">
        <v>3136700</v>
      </c>
      <c r="S233" s="14">
        <v>3064823.06</v>
      </c>
      <c r="T233" s="14">
        <v>6151366</v>
      </c>
      <c r="U233" s="14">
        <v>4399226.9399999995</v>
      </c>
      <c r="V233" s="14">
        <v>5035233.2800000003</v>
      </c>
      <c r="W233" s="14">
        <v>6279923.0499999998</v>
      </c>
      <c r="X233" s="14">
        <v>7235544</v>
      </c>
      <c r="Y233" s="14">
        <v>8330792</v>
      </c>
      <c r="Z233" s="14">
        <v>11511920</v>
      </c>
      <c r="AA233" s="14">
        <v>12235075</v>
      </c>
      <c r="AB233" s="14">
        <v>12797122</v>
      </c>
      <c r="AC233" s="14">
        <v>17521382</v>
      </c>
      <c r="AD233" s="14">
        <v>13931250</v>
      </c>
      <c r="AE233" s="14">
        <v>121898332.33</v>
      </c>
    </row>
    <row r="237" spans="1:32" ht="29" x14ac:dyDescent="0.35">
      <c r="A237" s="16" t="s">
        <v>231</v>
      </c>
    </row>
    <row r="240" spans="1:32" x14ac:dyDescent="0.2">
      <c r="A240" s="11" t="s">
        <v>4</v>
      </c>
      <c r="B240" s="11" t="s">
        <v>1272</v>
      </c>
    </row>
    <row r="241" spans="1:22" x14ac:dyDescent="0.2">
      <c r="A241" s="11" t="s">
        <v>1274</v>
      </c>
      <c r="B241">
        <v>2002</v>
      </c>
      <c r="C241">
        <v>2005</v>
      </c>
      <c r="D241">
        <v>2006</v>
      </c>
      <c r="E241">
        <v>2007</v>
      </c>
      <c r="F241">
        <v>2008</v>
      </c>
      <c r="G241">
        <v>2009</v>
      </c>
      <c r="H241">
        <v>2010</v>
      </c>
      <c r="I241">
        <v>2011</v>
      </c>
      <c r="J241">
        <v>2012</v>
      </c>
      <c r="K241">
        <v>2013</v>
      </c>
      <c r="L241">
        <v>2014</v>
      </c>
      <c r="M241">
        <v>2015</v>
      </c>
      <c r="N241">
        <v>2016</v>
      </c>
      <c r="O241">
        <v>2017</v>
      </c>
      <c r="P241">
        <v>2018</v>
      </c>
      <c r="Q241">
        <v>2019</v>
      </c>
      <c r="R241">
        <v>2020</v>
      </c>
      <c r="S241">
        <v>2021</v>
      </c>
      <c r="T241">
        <v>2022</v>
      </c>
      <c r="U241" t="s">
        <v>7</v>
      </c>
      <c r="V241" s="13" t="s">
        <v>8</v>
      </c>
    </row>
    <row r="242" spans="1:22" x14ac:dyDescent="0.2">
      <c r="A242" s="12" t="s">
        <v>90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>
        <v>616718</v>
      </c>
      <c r="R242" s="14">
        <v>250000</v>
      </c>
      <c r="S242" s="14">
        <v>250000</v>
      </c>
      <c r="T242" s="14">
        <v>255000</v>
      </c>
      <c r="U242" s="14">
        <v>1371718</v>
      </c>
      <c r="V242" t="str">
        <f>IF(VLOOKUP(A242,Resources!A:B,2,FALSE)=0,"",VLOOKUP(A242,Resources!A:B,2,FALSE))</f>
        <v>https://www.sourcewatch.org/index.php/People_United_for_Privacy</v>
      </c>
    </row>
    <row r="243" spans="1:22" x14ac:dyDescent="0.2">
      <c r="A243" s="12" t="s">
        <v>286</v>
      </c>
      <c r="B243" s="14"/>
      <c r="C243" s="14">
        <v>7500</v>
      </c>
      <c r="D243" s="14"/>
      <c r="E243" s="14"/>
      <c r="F243" s="14"/>
      <c r="G243" s="14">
        <v>30000</v>
      </c>
      <c r="H243" s="14"/>
      <c r="I243" s="14">
        <v>80000</v>
      </c>
      <c r="J243" s="14">
        <v>167000</v>
      </c>
      <c r="K243" s="14">
        <v>45000</v>
      </c>
      <c r="L243" s="14">
        <v>38300</v>
      </c>
      <c r="M243" s="14">
        <v>126300</v>
      </c>
      <c r="N243" s="14">
        <v>150700</v>
      </c>
      <c r="O243" s="14">
        <v>190000</v>
      </c>
      <c r="P243" s="14"/>
      <c r="Q243" s="14">
        <v>110000</v>
      </c>
      <c r="R243" s="14">
        <v>40000</v>
      </c>
      <c r="S243" s="14">
        <v>165500</v>
      </c>
      <c r="T243" s="14">
        <v>50000</v>
      </c>
      <c r="U243" s="14">
        <v>1200300</v>
      </c>
      <c r="V243" t="str">
        <f>IF(VLOOKUP(A243,Resources!A:B,2,FALSE)=0,"",VLOOKUP(A243,Resources!A:B,2,FALSE))</f>
        <v>http://www.sourcewatch.org/index.php/Illinois_Policy_Institute</v>
      </c>
    </row>
    <row r="244" spans="1:22" x14ac:dyDescent="0.2">
      <c r="A244" s="12" t="s">
        <v>249</v>
      </c>
      <c r="B244" s="14"/>
      <c r="C244" s="14"/>
      <c r="D244" s="14"/>
      <c r="E244" s="14"/>
      <c r="F244" s="14"/>
      <c r="G244" s="14"/>
      <c r="H244" s="14"/>
      <c r="I244" s="14"/>
      <c r="J244" s="14">
        <v>5000</v>
      </c>
      <c r="K244" s="14"/>
      <c r="L244" s="14">
        <v>40000</v>
      </c>
      <c r="M244" s="14"/>
      <c r="N244" s="14">
        <v>50350</v>
      </c>
      <c r="O244" s="14"/>
      <c r="P244" s="14">
        <v>100000</v>
      </c>
      <c r="Q244" s="14">
        <v>107500</v>
      </c>
      <c r="R244" s="14">
        <v>100000</v>
      </c>
      <c r="S244" s="14">
        <v>321500</v>
      </c>
      <c r="T244" s="14">
        <v>318500</v>
      </c>
      <c r="U244" s="14">
        <v>1042850</v>
      </c>
      <c r="V244" t="str">
        <f>IF(VLOOKUP(A244,Resources!A:B,2,FALSE)=0,"",VLOOKUP(A244,Resources!A:B,2,FALSE))</f>
        <v>http://www.sourcewatch.org/index.php/Beacon_Center_of_Tennessee</v>
      </c>
    </row>
    <row r="245" spans="1:22" x14ac:dyDescent="0.2">
      <c r="A245" s="12" t="s">
        <v>275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>
        <v>40000</v>
      </c>
      <c r="L245" s="14"/>
      <c r="M245" s="14"/>
      <c r="N245" s="14">
        <v>50000</v>
      </c>
      <c r="O245" s="14">
        <v>47500</v>
      </c>
      <c r="P245" s="14">
        <v>66000</v>
      </c>
      <c r="Q245" s="14">
        <v>46400</v>
      </c>
      <c r="R245" s="14">
        <v>75000</v>
      </c>
      <c r="S245" s="14">
        <v>360000</v>
      </c>
      <c r="T245" s="14">
        <v>311000</v>
      </c>
      <c r="U245" s="14">
        <v>995900</v>
      </c>
      <c r="V245" t="str">
        <f>IF(VLOOKUP(A245,Resources!A:B,2,FALSE)=0,"",VLOOKUP(A245,Resources!A:B,2,FALSE))</f>
        <v>http://www.sourcewatch.org/index.php/Georgia_Center_for_Opportunity</v>
      </c>
    </row>
    <row r="246" spans="1:22" x14ac:dyDescent="0.2">
      <c r="A246" s="12" t="s">
        <v>252</v>
      </c>
      <c r="B246" s="14"/>
      <c r="C246" s="14">
        <v>5000</v>
      </c>
      <c r="D246" s="14">
        <v>30000</v>
      </c>
      <c r="E246" s="14"/>
      <c r="F246" s="14"/>
      <c r="G246" s="14"/>
      <c r="H246" s="14"/>
      <c r="I246" s="14">
        <v>20000</v>
      </c>
      <c r="J246" s="14">
        <v>5000</v>
      </c>
      <c r="K246" s="14"/>
      <c r="L246" s="14">
        <v>47250</v>
      </c>
      <c r="M246" s="14">
        <v>201250</v>
      </c>
      <c r="N246" s="14">
        <v>22462</v>
      </c>
      <c r="O246" s="14">
        <v>34000</v>
      </c>
      <c r="P246" s="14"/>
      <c r="Q246" s="14">
        <v>50000</v>
      </c>
      <c r="R246" s="14">
        <v>70000</v>
      </c>
      <c r="S246" s="14">
        <v>275000</v>
      </c>
      <c r="T246" s="14">
        <v>210000</v>
      </c>
      <c r="U246" s="14">
        <v>969962</v>
      </c>
      <c r="V246" t="str">
        <f>IF(VLOOKUP(A246,Resources!A:B,2,FALSE)=0,"",VLOOKUP(A246,Resources!A:B,2,FALSE))</f>
        <v>http://www.sourcewatch.org/index.php/Buckeye_Institute_for_Public_Policy_Solutions</v>
      </c>
    </row>
    <row r="247" spans="1:22" x14ac:dyDescent="0.2">
      <c r="A247" s="12" t="s">
        <v>262</v>
      </c>
      <c r="B247" s="14">
        <v>7500</v>
      </c>
      <c r="C247" s="14"/>
      <c r="D247" s="14"/>
      <c r="E247" s="14">
        <v>40000</v>
      </c>
      <c r="F247" s="14"/>
      <c r="G247" s="14"/>
      <c r="H247" s="14">
        <v>56500</v>
      </c>
      <c r="I247" s="14">
        <v>45000</v>
      </c>
      <c r="J247" s="14">
        <v>82500</v>
      </c>
      <c r="K247" s="14">
        <v>131250</v>
      </c>
      <c r="L247" s="14">
        <v>26000</v>
      </c>
      <c r="M247" s="14"/>
      <c r="N247" s="14">
        <v>47850</v>
      </c>
      <c r="O247" s="14"/>
      <c r="P247" s="14">
        <v>84000</v>
      </c>
      <c r="Q247" s="14">
        <v>112500</v>
      </c>
      <c r="R247" s="14">
        <v>15000</v>
      </c>
      <c r="S247" s="14">
        <v>157500</v>
      </c>
      <c r="T247" s="14">
        <v>100000</v>
      </c>
      <c r="U247" s="14">
        <v>905600</v>
      </c>
      <c r="V247" t="str">
        <f>IF(VLOOKUP(A247,Resources!A:B,2,FALSE)=0,"",VLOOKUP(A247,Resources!A:B,2,FALSE))</f>
        <v>http://www.sourcewatch.org/index.php/Commonwealth_Foundation</v>
      </c>
    </row>
    <row r="248" spans="1:22" x14ac:dyDescent="0.2">
      <c r="A248" s="12" t="s">
        <v>287</v>
      </c>
      <c r="B248" s="14">
        <v>12500</v>
      </c>
      <c r="C248" s="14"/>
      <c r="D248" s="14">
        <v>30000</v>
      </c>
      <c r="E248" s="14">
        <v>7113</v>
      </c>
      <c r="F248" s="14"/>
      <c r="G248" s="14"/>
      <c r="H248" s="14">
        <v>72500</v>
      </c>
      <c r="I248" s="14"/>
      <c r="J248" s="14">
        <v>95000</v>
      </c>
      <c r="K248" s="14">
        <v>25000</v>
      </c>
      <c r="L248" s="14">
        <v>72350</v>
      </c>
      <c r="M248" s="14">
        <v>80000</v>
      </c>
      <c r="N248" s="14"/>
      <c r="O248" s="14">
        <v>26000</v>
      </c>
      <c r="P248" s="14">
        <v>109000</v>
      </c>
      <c r="Q248" s="14"/>
      <c r="R248" s="14">
        <v>75000</v>
      </c>
      <c r="S248" s="14">
        <v>147500</v>
      </c>
      <c r="T248" s="14">
        <v>152500</v>
      </c>
      <c r="U248" s="14">
        <v>904463</v>
      </c>
      <c r="V248" t="str">
        <f>IF(VLOOKUP(A248,Resources!A:B,2,FALSE)=0,"",VLOOKUP(A248,Resources!A:B,2,FALSE))</f>
        <v>http://www.sourcewatch.org/index.php/Independence_Institute</v>
      </c>
    </row>
    <row r="249" spans="1:22" x14ac:dyDescent="0.2">
      <c r="A249" s="12" t="s">
        <v>291</v>
      </c>
      <c r="B249" s="14">
        <v>2500</v>
      </c>
      <c r="C249" s="14"/>
      <c r="D249" s="14">
        <v>30000</v>
      </c>
      <c r="E249" s="14">
        <v>40622</v>
      </c>
      <c r="F249" s="14">
        <v>25000</v>
      </c>
      <c r="G249" s="14"/>
      <c r="H249" s="14">
        <v>54000</v>
      </c>
      <c r="I249" s="14"/>
      <c r="J249" s="14">
        <v>200000</v>
      </c>
      <c r="K249" s="14">
        <v>12200</v>
      </c>
      <c r="L249" s="14">
        <v>40000</v>
      </c>
      <c r="M249" s="14">
        <v>41000</v>
      </c>
      <c r="N249" s="14">
        <v>45500</v>
      </c>
      <c r="O249" s="14">
        <v>48000</v>
      </c>
      <c r="P249" s="14"/>
      <c r="Q249" s="14">
        <v>83500</v>
      </c>
      <c r="R249" s="14">
        <v>35000</v>
      </c>
      <c r="S249" s="14">
        <v>173500</v>
      </c>
      <c r="T249" s="14">
        <v>72000</v>
      </c>
      <c r="U249" s="14">
        <v>902822</v>
      </c>
      <c r="V249" t="str">
        <f>IF(VLOOKUP(A249,Resources!A:B,2,FALSE)=0,"",VLOOKUP(A249,Resources!A:B,2,FALSE))</f>
        <v>http://www.sourcewatch.org/index.php/James_Madison_Institute</v>
      </c>
    </row>
    <row r="250" spans="1:22" x14ac:dyDescent="0.2">
      <c r="A250" s="12" t="s">
        <v>303</v>
      </c>
      <c r="B250" s="14"/>
      <c r="C250" s="14">
        <v>4500</v>
      </c>
      <c r="D250" s="14">
        <v>25000</v>
      </c>
      <c r="E250" s="14"/>
      <c r="F250" s="14">
        <v>50000</v>
      </c>
      <c r="G250" s="14"/>
      <c r="H250" s="14">
        <v>25000</v>
      </c>
      <c r="I250" s="14">
        <v>60000</v>
      </c>
      <c r="J250" s="14">
        <v>69250</v>
      </c>
      <c r="K250" s="14">
        <v>21000</v>
      </c>
      <c r="L250" s="14">
        <v>46300</v>
      </c>
      <c r="M250" s="14">
        <v>45000</v>
      </c>
      <c r="N250" s="14">
        <v>41289</v>
      </c>
      <c r="O250" s="14">
        <v>26200</v>
      </c>
      <c r="P250" s="14">
        <v>30000</v>
      </c>
      <c r="Q250" s="14">
        <v>52000</v>
      </c>
      <c r="R250" s="14">
        <v>123000</v>
      </c>
      <c r="S250" s="14">
        <v>150000</v>
      </c>
      <c r="T250" s="14">
        <v>100000</v>
      </c>
      <c r="U250" s="14">
        <v>868539</v>
      </c>
      <c r="V250" t="str">
        <f>IF(VLOOKUP(A250,Resources!A:B,2,FALSE)=0,"",VLOOKUP(A250,Resources!A:B,2,FALSE))</f>
        <v>http://www.sourcewatch.org/index.php/Mackinac_Center_for_Public_Policy</v>
      </c>
    </row>
    <row r="251" spans="1:22" x14ac:dyDescent="0.2">
      <c r="A251" s="12" t="s">
        <v>315</v>
      </c>
      <c r="B251" s="14"/>
      <c r="C251" s="14"/>
      <c r="D251" s="14"/>
      <c r="E251" s="14">
        <v>40000</v>
      </c>
      <c r="F251" s="14"/>
      <c r="G251" s="14"/>
      <c r="H251" s="14"/>
      <c r="I251" s="14">
        <v>30000</v>
      </c>
      <c r="J251" s="14">
        <v>150000</v>
      </c>
      <c r="K251" s="14">
        <v>25000</v>
      </c>
      <c r="L251" s="14">
        <v>40000</v>
      </c>
      <c r="M251" s="14">
        <v>55300</v>
      </c>
      <c r="N251" s="14"/>
      <c r="O251" s="14">
        <v>23600</v>
      </c>
      <c r="P251" s="14">
        <v>43100</v>
      </c>
      <c r="Q251" s="14">
        <v>60000</v>
      </c>
      <c r="R251" s="14">
        <v>70000</v>
      </c>
      <c r="S251" s="14">
        <v>150000</v>
      </c>
      <c r="T251" s="14">
        <v>70000</v>
      </c>
      <c r="U251" s="14">
        <v>757000</v>
      </c>
      <c r="V251" t="str">
        <f>IF(VLOOKUP(A251,Resources!A:B,2,FALSE)=0,"",VLOOKUP(A251,Resources!A:B,2,FALSE))</f>
        <v>http://www.sourcewatch.org/index.php/Oklahoma_Council_of_Public_Affairs</v>
      </c>
    </row>
    <row r="252" spans="1:22" x14ac:dyDescent="0.2">
      <c r="A252" s="12" t="s">
        <v>255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>
        <v>37000</v>
      </c>
      <c r="N252" s="14"/>
      <c r="O252" s="14"/>
      <c r="P252" s="14">
        <v>20000</v>
      </c>
      <c r="Q252" s="14">
        <v>46400</v>
      </c>
      <c r="R252" s="14">
        <v>29000</v>
      </c>
      <c r="S252" s="14">
        <v>220000</v>
      </c>
      <c r="T252" s="14">
        <v>397000</v>
      </c>
      <c r="U252" s="14">
        <v>749400</v>
      </c>
      <c r="V252" t="str">
        <f>IF(VLOOKUP(A252,Resources!A:B,2,FALSE)=0,"",VLOOKUP(A252,Resources!A:B,2,FALSE))</f>
        <v>https://www.sourcewatch.org/index.php/Cardinal_Institute</v>
      </c>
    </row>
    <row r="253" spans="1:22" x14ac:dyDescent="0.2">
      <c r="A253" s="12" t="s">
        <v>334</v>
      </c>
      <c r="B253" s="14">
        <v>5000</v>
      </c>
      <c r="C253" s="14">
        <v>7500</v>
      </c>
      <c r="D253" s="14">
        <v>30000</v>
      </c>
      <c r="E253" s="14">
        <v>41139</v>
      </c>
      <c r="F253" s="14"/>
      <c r="G253" s="14">
        <v>50000</v>
      </c>
      <c r="H253" s="14">
        <v>31500</v>
      </c>
      <c r="I253" s="14"/>
      <c r="J253" s="14">
        <v>55000</v>
      </c>
      <c r="K253" s="14">
        <v>100000</v>
      </c>
      <c r="L253" s="14">
        <v>25000</v>
      </c>
      <c r="M253" s="14"/>
      <c r="N253" s="14">
        <v>8000</v>
      </c>
      <c r="O253" s="14"/>
      <c r="P253" s="14"/>
      <c r="Q253" s="14"/>
      <c r="R253" s="14"/>
      <c r="S253" s="14"/>
      <c r="T253" s="14">
        <v>313000</v>
      </c>
      <c r="U253" s="14">
        <v>666139</v>
      </c>
      <c r="V253" t="str">
        <f>IF(VLOOKUP(A253,Resources!A:B,2,FALSE)=0,"",VLOOKUP(A253,Resources!A:B,2,FALSE))</f>
        <v>http://www.sourcewatch.org/index.php/South_Carolina_Policy_Council</v>
      </c>
    </row>
    <row r="254" spans="1:22" x14ac:dyDescent="0.2">
      <c r="A254" s="12" t="s">
        <v>254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>
        <v>59100</v>
      </c>
      <c r="M254" s="14">
        <v>50000</v>
      </c>
      <c r="N254" s="14"/>
      <c r="O254" s="14">
        <v>66950</v>
      </c>
      <c r="P254" s="14"/>
      <c r="Q254" s="14">
        <v>139400</v>
      </c>
      <c r="R254" s="14">
        <v>95000</v>
      </c>
      <c r="S254" s="14">
        <v>143500</v>
      </c>
      <c r="T254" s="14">
        <v>107188</v>
      </c>
      <c r="U254" s="14">
        <v>661138</v>
      </c>
      <c r="V254" t="str">
        <f>IF(VLOOKUP(A254,Resources!A:B,2,FALSE)=0,"",VLOOKUP(A254,Resources!A:B,2,FALSE))</f>
        <v>http://www.sourcewatch.org/index.php/California_Public_Policy_Center</v>
      </c>
    </row>
    <row r="255" spans="1:22" x14ac:dyDescent="0.2">
      <c r="A255" s="12" t="s">
        <v>268</v>
      </c>
      <c r="B255" s="14">
        <v>5000</v>
      </c>
      <c r="C255" s="14"/>
      <c r="D255" s="14"/>
      <c r="E255" s="14">
        <v>15664</v>
      </c>
      <c r="F255" s="14">
        <v>36750</v>
      </c>
      <c r="G255" s="14"/>
      <c r="H255" s="14"/>
      <c r="I255" s="14">
        <v>33500</v>
      </c>
      <c r="J255" s="14">
        <v>51000</v>
      </c>
      <c r="K255" s="14">
        <v>80250</v>
      </c>
      <c r="L255" s="14">
        <v>11000</v>
      </c>
      <c r="M255" s="14">
        <v>60000</v>
      </c>
      <c r="N255" s="14">
        <v>50000</v>
      </c>
      <c r="O255" s="14">
        <v>53700</v>
      </c>
      <c r="P255" s="14">
        <v>30000</v>
      </c>
      <c r="Q255" s="14">
        <v>60000</v>
      </c>
      <c r="R255" s="14">
        <v>40000</v>
      </c>
      <c r="S255" s="14"/>
      <c r="T255" s="14">
        <v>100000</v>
      </c>
      <c r="U255" s="14">
        <v>626864</v>
      </c>
      <c r="V255" t="str">
        <f>IF(VLOOKUP(A255,Resources!A:B,2,FALSE)=0,"",VLOOKUP(A255,Resources!A:B,2,FALSE))</f>
        <v>http://www.sourcewatch.org/index.php/Evergreen_Freedom_Foundation</v>
      </c>
    </row>
    <row r="256" spans="1:22" x14ac:dyDescent="0.2">
      <c r="A256" s="12" t="s">
        <v>264</v>
      </c>
      <c r="B256" s="14"/>
      <c r="C256" s="14"/>
      <c r="D256" s="14"/>
      <c r="E256" s="14"/>
      <c r="F256" s="14"/>
      <c r="G256" s="14">
        <v>30000</v>
      </c>
      <c r="H256" s="14"/>
      <c r="I256" s="14"/>
      <c r="J256" s="14"/>
      <c r="K256" s="14">
        <v>51500</v>
      </c>
      <c r="L256" s="14"/>
      <c r="M256" s="14">
        <v>42300</v>
      </c>
      <c r="N256" s="14"/>
      <c r="O256" s="14">
        <v>6400</v>
      </c>
      <c r="P256" s="14">
        <v>53500</v>
      </c>
      <c r="Q256" s="14">
        <v>141150</v>
      </c>
      <c r="R256" s="14">
        <v>120000</v>
      </c>
      <c r="S256" s="14"/>
      <c r="T256" s="14">
        <v>140000</v>
      </c>
      <c r="U256" s="14">
        <v>584850</v>
      </c>
      <c r="V256" t="str">
        <f>IF(VLOOKUP(A256,Resources!A:B,2,FALSE)=0,"",VLOOKUP(A256,Resources!A:B,2,FALSE))</f>
        <v>http://www.sourcewatch.org/index.php/Empire_Center_for_New_York_State_Policy</v>
      </c>
    </row>
    <row r="257" spans="1:22" x14ac:dyDescent="0.2">
      <c r="A257" s="12" t="s">
        <v>271</v>
      </c>
      <c r="B257" s="14"/>
      <c r="C257" s="14"/>
      <c r="D257" s="14"/>
      <c r="E257" s="14"/>
      <c r="F257" s="14"/>
      <c r="G257" s="14"/>
      <c r="H257" s="14"/>
      <c r="I257" s="14">
        <v>60000</v>
      </c>
      <c r="J257" s="14">
        <v>108150</v>
      </c>
      <c r="K257" s="14">
        <v>55000</v>
      </c>
      <c r="L257" s="14"/>
      <c r="M257" s="14"/>
      <c r="N257" s="14"/>
      <c r="O257" s="14">
        <v>10000</v>
      </c>
      <c r="P257" s="14"/>
      <c r="Q257" s="14"/>
      <c r="R257" s="14"/>
      <c r="S257" s="14">
        <v>150000</v>
      </c>
      <c r="T257" s="14">
        <v>195000</v>
      </c>
      <c r="U257" s="14">
        <v>578150</v>
      </c>
      <c r="V257" t="str">
        <f>IF(VLOOKUP(A257,Resources!A:B,2,FALSE)=0,"",VLOOKUP(A257,Resources!A:B,2,FALSE))</f>
        <v>http://www.sourcewatch.org/index.php/Foundation_for_Government_Accountability</v>
      </c>
    </row>
    <row r="258" spans="1:22" x14ac:dyDescent="0.2">
      <c r="A258" s="12" t="s">
        <v>278</v>
      </c>
      <c r="B258" s="14"/>
      <c r="C258" s="14">
        <v>2500</v>
      </c>
      <c r="D258" s="14"/>
      <c r="E258" s="14">
        <v>1549</v>
      </c>
      <c r="F258" s="14">
        <v>30000</v>
      </c>
      <c r="G258" s="14"/>
      <c r="H258" s="14"/>
      <c r="I258" s="14">
        <v>30000</v>
      </c>
      <c r="J258" s="14">
        <v>25000</v>
      </c>
      <c r="K258" s="14">
        <v>40000</v>
      </c>
      <c r="L258" s="14">
        <v>20300</v>
      </c>
      <c r="M258" s="14"/>
      <c r="N258" s="14">
        <v>20000</v>
      </c>
      <c r="O258" s="14">
        <v>10500</v>
      </c>
      <c r="P258" s="14">
        <v>64500</v>
      </c>
      <c r="Q258" s="14">
        <v>50000</v>
      </c>
      <c r="R258" s="14">
        <v>52500</v>
      </c>
      <c r="S258" s="14">
        <v>150000</v>
      </c>
      <c r="T258" s="14">
        <v>75000</v>
      </c>
      <c r="U258" s="14">
        <v>571849</v>
      </c>
      <c r="V258" t="str">
        <f>IF(VLOOKUP(A258,Resources!A:B,2,FALSE)=0,"",VLOOKUP(A258,Resources!A:B,2,FALSE))</f>
        <v>http://www.sourcewatch.org/index.php/Goldwater_Institute</v>
      </c>
    </row>
    <row r="259" spans="1:22" x14ac:dyDescent="0.2">
      <c r="A259" s="12" t="s">
        <v>256</v>
      </c>
      <c r="B259" s="14">
        <v>12500</v>
      </c>
      <c r="C259" s="14"/>
      <c r="D259" s="14"/>
      <c r="E259" s="14">
        <v>42322</v>
      </c>
      <c r="F259" s="14"/>
      <c r="G259" s="14">
        <v>30000</v>
      </c>
      <c r="H259" s="14">
        <v>30000</v>
      </c>
      <c r="I259" s="14">
        <v>30000</v>
      </c>
      <c r="J259" s="14"/>
      <c r="K259" s="14">
        <v>40000</v>
      </c>
      <c r="L259" s="14">
        <v>20000</v>
      </c>
      <c r="M259" s="14">
        <v>83000</v>
      </c>
      <c r="N259" s="14">
        <v>41000</v>
      </c>
      <c r="O259" s="14">
        <v>52000</v>
      </c>
      <c r="P259" s="14"/>
      <c r="Q259" s="14">
        <v>38500</v>
      </c>
      <c r="R259" s="14"/>
      <c r="S259" s="14"/>
      <c r="T259" s="14">
        <v>129500</v>
      </c>
      <c r="U259" s="14">
        <v>548822</v>
      </c>
      <c r="V259" t="str">
        <f>IF(VLOOKUP(A259,Resources!A:B,2,FALSE)=0,"",VLOOKUP(A259,Resources!A:B,2,FALSE))</f>
        <v>http://www.sourcewatch.org/index.php/Cascade_Policy_Institute</v>
      </c>
    </row>
    <row r="260" spans="1:22" x14ac:dyDescent="0.2">
      <c r="A260" s="12" t="s">
        <v>342</v>
      </c>
      <c r="B260" s="14"/>
      <c r="C260" s="14">
        <v>3000</v>
      </c>
      <c r="D260" s="14"/>
      <c r="E260" s="14">
        <v>80000</v>
      </c>
      <c r="F260" s="14">
        <v>25000</v>
      </c>
      <c r="G260" s="14">
        <v>30000</v>
      </c>
      <c r="H260" s="14">
        <v>19500</v>
      </c>
      <c r="I260" s="14"/>
      <c r="J260" s="14">
        <v>30000</v>
      </c>
      <c r="K260" s="14">
        <v>90000</v>
      </c>
      <c r="L260" s="14">
        <v>89400</v>
      </c>
      <c r="M260" s="14"/>
      <c r="N260" s="14">
        <v>12000</v>
      </c>
      <c r="O260" s="14"/>
      <c r="P260" s="14"/>
      <c r="Q260" s="14"/>
      <c r="R260" s="14">
        <v>25000</v>
      </c>
      <c r="S260" s="14"/>
      <c r="T260" s="14">
        <v>135000</v>
      </c>
      <c r="U260" s="14">
        <v>538900</v>
      </c>
      <c r="V260" t="str">
        <f>IF(VLOOKUP(A260,Resources!A:B,2,FALSE)=0,"",VLOOKUP(A260,Resources!A:B,2,FALSE))</f>
        <v>http://www.sourcewatch.org/index.php/Texas_Public_Policy_Foundation</v>
      </c>
    </row>
    <row r="261" spans="1:22" x14ac:dyDescent="0.2">
      <c r="A261" s="12" t="s">
        <v>325</v>
      </c>
      <c r="B261" s="14"/>
      <c r="C261" s="14"/>
      <c r="D261" s="14"/>
      <c r="E261" s="14">
        <v>718</v>
      </c>
      <c r="F261" s="14"/>
      <c r="G261" s="14"/>
      <c r="H261" s="14"/>
      <c r="I261" s="14"/>
      <c r="J261" s="14"/>
      <c r="K261" s="14"/>
      <c r="L261" s="14"/>
      <c r="M261" s="14">
        <v>40000</v>
      </c>
      <c r="N261" s="14"/>
      <c r="O261" s="14">
        <v>25000</v>
      </c>
      <c r="P261" s="14"/>
      <c r="Q261" s="14"/>
      <c r="R261" s="14">
        <v>73000</v>
      </c>
      <c r="S261" s="14">
        <v>143000</v>
      </c>
      <c r="T261" s="14">
        <v>230000</v>
      </c>
      <c r="U261" s="14">
        <v>511718</v>
      </c>
      <c r="V261" t="str">
        <f>IF(VLOOKUP(A261,Resources!A:B,2,FALSE)=0,"",VLOOKUP(A261,Resources!A:B,2,FALSE))</f>
        <v>http://www.sourcewatch.org/index.php/Pioneer_Institute_for_Public_Policy_Research</v>
      </c>
    </row>
    <row r="262" spans="1:22" x14ac:dyDescent="0.2">
      <c r="A262" s="12" t="s">
        <v>317</v>
      </c>
      <c r="B262" s="14"/>
      <c r="C262" s="14"/>
      <c r="D262" s="14"/>
      <c r="E262" s="14"/>
      <c r="F262" s="14"/>
      <c r="G262" s="14"/>
      <c r="H262" s="14"/>
      <c r="I262" s="14">
        <v>275000</v>
      </c>
      <c r="J262" s="14">
        <v>221900</v>
      </c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>
        <v>496900</v>
      </c>
      <c r="V262" t="str">
        <f>IF(VLOOKUP(A262,Resources!A:B,2,FALSE)=0,"",VLOOKUP(A262,Resources!A:B,2,FALSE))</f>
        <v/>
      </c>
    </row>
    <row r="263" spans="1:22" x14ac:dyDescent="0.2">
      <c r="A263" s="12" t="s">
        <v>289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>
        <v>200000</v>
      </c>
      <c r="T263" s="14">
        <v>267000</v>
      </c>
      <c r="U263" s="14">
        <v>467000</v>
      </c>
      <c r="V263" t="str">
        <f>IF(VLOOKUP(A263,Resources!A:B,2,FALSE)=0,"",VLOOKUP(A263,Resources!A:B,2,FALSE))</f>
        <v>https://www.sourcewatch.org/index.php/Institute_for_Reforming_Government</v>
      </c>
    </row>
    <row r="264" spans="1:22" x14ac:dyDescent="0.2">
      <c r="A264" s="12" t="s">
        <v>277</v>
      </c>
      <c r="B264" s="14"/>
      <c r="C264" s="14">
        <v>5000</v>
      </c>
      <c r="D264" s="14"/>
      <c r="E264" s="14">
        <v>35975</v>
      </c>
      <c r="F264" s="14"/>
      <c r="G264" s="14"/>
      <c r="H264" s="14"/>
      <c r="I264" s="14">
        <v>24500</v>
      </c>
      <c r="J264" s="14"/>
      <c r="K264" s="14"/>
      <c r="L264" s="14"/>
      <c r="M264" s="14">
        <v>7000</v>
      </c>
      <c r="N264" s="14"/>
      <c r="O264" s="14"/>
      <c r="P264" s="14"/>
      <c r="Q264" s="14">
        <v>25000</v>
      </c>
      <c r="R264" s="14">
        <v>20000</v>
      </c>
      <c r="S264" s="14">
        <v>132500</v>
      </c>
      <c r="T264" s="14">
        <v>215000</v>
      </c>
      <c r="U264" s="14">
        <v>464975</v>
      </c>
      <c r="V264" t="str">
        <f>IF(VLOOKUP(A264,Resources!A:B,2,FALSE)=0,"",VLOOKUP(A264,Resources!A:B,2,FALSE))</f>
        <v>http://www.sourcewatch.org/index.php/Georgia_Public_Policy_Foundation</v>
      </c>
    </row>
    <row r="265" spans="1:22" x14ac:dyDescent="0.2">
      <c r="A265" s="12" t="s">
        <v>324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>
        <v>10250</v>
      </c>
      <c r="M265" s="14"/>
      <c r="N265" s="14"/>
      <c r="O265" s="14"/>
      <c r="P265" s="14">
        <v>15500</v>
      </c>
      <c r="Q265" s="14">
        <v>50000</v>
      </c>
      <c r="R265" s="14">
        <v>29000</v>
      </c>
      <c r="S265" s="14"/>
      <c r="T265" s="14">
        <v>350000</v>
      </c>
      <c r="U265" s="14">
        <v>454750</v>
      </c>
      <c r="V265" t="str">
        <f>IF(VLOOKUP(A265,Resources!A:B,2,FALSE)=0,"",VLOOKUP(A265,Resources!A:B,2,FALSE))</f>
        <v>http://www.sourcewatch.org/index.php/Pelican_Institute</v>
      </c>
    </row>
    <row r="266" spans="1:22" x14ac:dyDescent="0.2">
      <c r="A266" s="12" t="s">
        <v>332</v>
      </c>
      <c r="B266" s="14"/>
      <c r="C266" s="14"/>
      <c r="D266" s="14"/>
      <c r="E266" s="14">
        <v>87951</v>
      </c>
      <c r="F266" s="14"/>
      <c r="G266" s="14"/>
      <c r="H266" s="14"/>
      <c r="I266" s="14"/>
      <c r="J266" s="14"/>
      <c r="K266" s="14">
        <v>6500</v>
      </c>
      <c r="L266" s="14">
        <v>76100</v>
      </c>
      <c r="M266" s="14">
        <v>42500</v>
      </c>
      <c r="N266" s="14">
        <v>40950</v>
      </c>
      <c r="O266" s="14">
        <v>70500</v>
      </c>
      <c r="P266" s="14">
        <v>15000</v>
      </c>
      <c r="Q266" s="14"/>
      <c r="R266" s="14"/>
      <c r="S266" s="14">
        <v>50000</v>
      </c>
      <c r="T266" s="14">
        <v>50000</v>
      </c>
      <c r="U266" s="14">
        <v>439501</v>
      </c>
      <c r="V266" t="str">
        <f>IF(VLOOKUP(A266,Resources!A:B,2,FALSE)=0,"",VLOOKUP(A266,Resources!A:B,2,FALSE))</f>
        <v>http://www.sourcewatch.org/index.php/Show-Me_Institute</v>
      </c>
    </row>
    <row r="267" spans="1:22" x14ac:dyDescent="0.2">
      <c r="A267" s="12" t="s">
        <v>354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>
        <v>82500</v>
      </c>
      <c r="N267" s="14"/>
      <c r="O267" s="14">
        <v>134300</v>
      </c>
      <c r="P267" s="14">
        <v>15000</v>
      </c>
      <c r="Q267" s="14">
        <v>45000</v>
      </c>
      <c r="R267" s="14">
        <v>45000</v>
      </c>
      <c r="S267" s="14"/>
      <c r="T267" s="14">
        <v>100000</v>
      </c>
      <c r="U267" s="14">
        <v>421800</v>
      </c>
      <c r="V267" t="str">
        <f>IF(VLOOKUP(A267,Resources!A:B,2,FALSE)=0,"",VLOOKUP(A267,Resources!A:B,2,FALSE))</f>
        <v>https://www.sourcewatch.org/index.php/Yankee_Institute_for_Public_Policy</v>
      </c>
    </row>
    <row r="268" spans="1:22" x14ac:dyDescent="0.2">
      <c r="A268" s="12" t="s">
        <v>326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>
        <v>28000</v>
      </c>
      <c r="L268" s="14">
        <v>13000</v>
      </c>
      <c r="M268" s="14"/>
      <c r="N268" s="14">
        <v>46000</v>
      </c>
      <c r="O268" s="14">
        <v>23750</v>
      </c>
      <c r="P268" s="14"/>
      <c r="Q268" s="14"/>
      <c r="R268" s="14">
        <v>25000</v>
      </c>
      <c r="S268" s="14">
        <v>115000</v>
      </c>
      <c r="T268" s="14">
        <v>165000</v>
      </c>
      <c r="U268" s="14">
        <v>415750</v>
      </c>
      <c r="V268" t="str">
        <f>IF(VLOOKUP(A268,Resources!A:B,2,FALSE)=0,"",VLOOKUP(A268,Resources!A:B,2,FALSE))</f>
        <v>http://www.sourcewatch.org/index.php/Platte_Institute_for_Economic_Research</v>
      </c>
    </row>
    <row r="269" spans="1:22" x14ac:dyDescent="0.2">
      <c r="A269" s="12" t="s">
        <v>319</v>
      </c>
      <c r="B269" s="14"/>
      <c r="C269" s="14"/>
      <c r="D269" s="14"/>
      <c r="E269" s="14"/>
      <c r="F269" s="14"/>
      <c r="G269" s="14"/>
      <c r="H269" s="14"/>
      <c r="I269" s="14"/>
      <c r="J269" s="14">
        <v>265775</v>
      </c>
      <c r="K269" s="14">
        <v>129000</v>
      </c>
      <c r="L269" s="14"/>
      <c r="M269" s="14"/>
      <c r="N269" s="14"/>
      <c r="O269" s="14"/>
      <c r="P269" s="14"/>
      <c r="Q269" s="14"/>
      <c r="R269" s="14"/>
      <c r="S269" s="14"/>
      <c r="T269" s="14"/>
      <c r="U269" s="14">
        <v>394775</v>
      </c>
      <c r="V269" t="str">
        <f>IF(VLOOKUP(A269,Resources!A:B,2,FALSE)=0,"",VLOOKUP(A269,Resources!A:B,2,FALSE))</f>
        <v>http://www.sourcewatch.org/index.php/Opportunity_Ohio</v>
      </c>
    </row>
    <row r="270" spans="1:22" x14ac:dyDescent="0.2">
      <c r="A270" s="12" t="s">
        <v>296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>
        <v>7500</v>
      </c>
      <c r="N270" s="14"/>
      <c r="O270" s="14"/>
      <c r="P270" s="14"/>
      <c r="Q270" s="14"/>
      <c r="R270" s="14">
        <v>13000</v>
      </c>
      <c r="S270" s="14">
        <v>120000</v>
      </c>
      <c r="T270" s="14">
        <v>240000</v>
      </c>
      <c r="U270" s="14">
        <v>380500</v>
      </c>
      <c r="V270" t="str">
        <f>IF(VLOOKUP(A270,Resources!A:B,2,FALSE)=0,"",VLOOKUP(A270,Resources!A:B,2,FALSE))</f>
        <v>https://www.sourcewatch.org/index.php/Libertas_Institute</v>
      </c>
    </row>
    <row r="271" spans="1:22" x14ac:dyDescent="0.2">
      <c r="A271" s="12" t="s">
        <v>292</v>
      </c>
      <c r="B271" s="14"/>
      <c r="C271" s="14"/>
      <c r="D271" s="14"/>
      <c r="E271" s="14">
        <v>5714</v>
      </c>
      <c r="F271" s="14">
        <v>20000</v>
      </c>
      <c r="G271" s="14"/>
      <c r="H271" s="14"/>
      <c r="I271" s="14"/>
      <c r="J271" s="14"/>
      <c r="K271" s="14"/>
      <c r="L271" s="14">
        <v>50100</v>
      </c>
      <c r="M271" s="14"/>
      <c r="N271" s="14"/>
      <c r="O271" s="14">
        <v>10000</v>
      </c>
      <c r="P271" s="14"/>
      <c r="Q271" s="14"/>
      <c r="R271" s="14">
        <v>50000</v>
      </c>
      <c r="S271" s="14">
        <v>150000</v>
      </c>
      <c r="T271" s="14">
        <v>80000</v>
      </c>
      <c r="U271" s="14">
        <v>365814</v>
      </c>
      <c r="V271" t="str">
        <f>IF(VLOOKUP(A271,Resources!A:B,2,FALSE)=0,"",VLOOKUP(A271,Resources!A:B,2,FALSE))</f>
        <v>http://www.sourcewatch.org/index.php/John_Locke_Foundation</v>
      </c>
    </row>
    <row r="272" spans="1:22" x14ac:dyDescent="0.2">
      <c r="A272" s="12" t="s">
        <v>285</v>
      </c>
      <c r="B272" s="14"/>
      <c r="C272" s="14"/>
      <c r="D272" s="14"/>
      <c r="E272" s="14"/>
      <c r="F272" s="14">
        <v>15000</v>
      </c>
      <c r="G272" s="14">
        <v>245000</v>
      </c>
      <c r="H272" s="14"/>
      <c r="I272" s="14"/>
      <c r="J272" s="14">
        <v>30000</v>
      </c>
      <c r="K272" s="14"/>
      <c r="L272" s="14"/>
      <c r="M272" s="14"/>
      <c r="N272" s="14">
        <v>38350</v>
      </c>
      <c r="O272" s="14"/>
      <c r="P272" s="14"/>
      <c r="Q272" s="14"/>
      <c r="R272" s="14">
        <v>30000</v>
      </c>
      <c r="S272" s="14"/>
      <c r="T272" s="14"/>
      <c r="U272" s="14">
        <v>358350</v>
      </c>
      <c r="V272" t="str">
        <f>IF(VLOOKUP(A272,Resources!A:B,2,FALSE)=0,"",VLOOKUP(A272,Resources!A:B,2,FALSE))</f>
        <v>http://www.sourcewatch.org/index.php/Idaho_Freedom_Foundation</v>
      </c>
    </row>
    <row r="273" spans="1:22" x14ac:dyDescent="0.2">
      <c r="A273" s="12" t="s">
        <v>236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>
        <v>45000</v>
      </c>
      <c r="R273" s="14">
        <v>90000</v>
      </c>
      <c r="S273" s="14">
        <v>15000</v>
      </c>
      <c r="T273" s="14">
        <v>175000</v>
      </c>
      <c r="U273" s="14">
        <v>325000</v>
      </c>
      <c r="V273" t="str">
        <f>IF(VLOOKUP(A273,Resources!A:B,2,FALSE)=0,"",VLOOKUP(A273,Resources!A:B,2,FALSE))</f>
        <v>https://www.sourcewatch.org/index.php/Alaska_Policy_Forum</v>
      </c>
    </row>
    <row r="274" spans="1:22" x14ac:dyDescent="0.2">
      <c r="A274" s="12" t="s">
        <v>308</v>
      </c>
      <c r="B274" s="14">
        <v>5000</v>
      </c>
      <c r="C274" s="14">
        <v>7500</v>
      </c>
      <c r="D274" s="14"/>
      <c r="E274" s="14"/>
      <c r="F274" s="14">
        <v>30000</v>
      </c>
      <c r="G274" s="14">
        <v>30000</v>
      </c>
      <c r="H274" s="14">
        <v>30000</v>
      </c>
      <c r="I274" s="14"/>
      <c r="J274" s="14"/>
      <c r="K274" s="14">
        <v>25000</v>
      </c>
      <c r="L274" s="14">
        <v>15000</v>
      </c>
      <c r="M274" s="14">
        <v>25000</v>
      </c>
      <c r="N274" s="14">
        <v>50000</v>
      </c>
      <c r="O274" s="14">
        <v>50500</v>
      </c>
      <c r="P274" s="14">
        <v>50000</v>
      </c>
      <c r="Q274" s="14"/>
      <c r="R274" s="14"/>
      <c r="S274" s="14"/>
      <c r="T274" s="14"/>
      <c r="U274" s="14">
        <v>318000</v>
      </c>
      <c r="V274" t="str">
        <f>IF(VLOOKUP(A274,Resources!A:B,2,FALSE)=0,"",VLOOKUP(A274,Resources!A:B,2,FALSE))</f>
        <v>http://www.sourcewatch.org/index.php/Maryland_Public_Policy_Institute</v>
      </c>
    </row>
    <row r="275" spans="1:22" x14ac:dyDescent="0.2">
      <c r="A275" s="12" t="s">
        <v>305</v>
      </c>
      <c r="B275" s="14"/>
      <c r="C275" s="14"/>
      <c r="D275" s="14"/>
      <c r="E275" s="14">
        <v>5000</v>
      </c>
      <c r="F275" s="14">
        <v>30000</v>
      </c>
      <c r="G275" s="14">
        <v>85000</v>
      </c>
      <c r="H275" s="14">
        <v>31000</v>
      </c>
      <c r="I275" s="14"/>
      <c r="J275" s="14">
        <v>5000</v>
      </c>
      <c r="K275" s="14">
        <v>50000</v>
      </c>
      <c r="L275" s="14"/>
      <c r="M275" s="14"/>
      <c r="N275" s="14"/>
      <c r="O275" s="14"/>
      <c r="P275" s="14">
        <v>15000</v>
      </c>
      <c r="Q275" s="14">
        <v>40000</v>
      </c>
      <c r="R275" s="14">
        <v>44000</v>
      </c>
      <c r="S275" s="14"/>
      <c r="T275" s="14"/>
      <c r="U275" s="14">
        <v>305000</v>
      </c>
      <c r="V275" t="str">
        <f>IF(VLOOKUP(A275,Resources!A:B,2,FALSE)=0,"",VLOOKUP(A275,Resources!A:B,2,FALSE))</f>
        <v>http://www.sourcewatch.org/index.php/Maine_Heritage_Policy_Center</v>
      </c>
    </row>
    <row r="276" spans="1:22" x14ac:dyDescent="0.2">
      <c r="A276" s="12" t="s">
        <v>295</v>
      </c>
      <c r="B276" s="14"/>
      <c r="C276" s="14">
        <v>17500</v>
      </c>
      <c r="D276" s="14"/>
      <c r="E276" s="14"/>
      <c r="F276" s="14"/>
      <c r="G276" s="14"/>
      <c r="H276" s="14"/>
      <c r="I276" s="14"/>
      <c r="J276" s="14"/>
      <c r="K276" s="14">
        <v>40000</v>
      </c>
      <c r="L276" s="14">
        <v>14600</v>
      </c>
      <c r="M276" s="14"/>
      <c r="N276" s="14"/>
      <c r="O276" s="14"/>
      <c r="P276" s="14"/>
      <c r="Q276" s="14">
        <v>40000</v>
      </c>
      <c r="R276" s="14">
        <v>60000</v>
      </c>
      <c r="S276" s="14"/>
      <c r="T276" s="14">
        <v>132500</v>
      </c>
      <c r="U276" s="14">
        <v>304600</v>
      </c>
      <c r="V276" t="str">
        <f>IF(VLOOKUP(A276,Resources!A:B,2,FALSE)=0,"",VLOOKUP(A276,Resources!A:B,2,FALSE))</f>
        <v>http://www.sourcewatch.org/index.php/Kansas_Policy_Institute</v>
      </c>
    </row>
    <row r="277" spans="1:22" x14ac:dyDescent="0.2">
      <c r="A277" s="12" t="s">
        <v>350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>
        <v>42375</v>
      </c>
      <c r="O277" s="14">
        <v>55900</v>
      </c>
      <c r="P277" s="14"/>
      <c r="Q277" s="14">
        <v>40000</v>
      </c>
      <c r="R277" s="14">
        <v>30000</v>
      </c>
      <c r="S277" s="14">
        <v>85150</v>
      </c>
      <c r="T277" s="14">
        <v>50000</v>
      </c>
      <c r="U277" s="14">
        <v>303425</v>
      </c>
      <c r="V277" t="str">
        <f>IF(VLOOKUP(A277,Resources!A:B,2,FALSE)=0,"",VLOOKUP(A277,Resources!A:B,2,FALSE))</f>
        <v>https://www.sourcewatch.org/index.php/Wisconsin_Institute_for_Law_%26_Liberty</v>
      </c>
    </row>
    <row r="278" spans="1:22" x14ac:dyDescent="0.2">
      <c r="A278" s="12" t="s">
        <v>265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>
        <v>40000</v>
      </c>
      <c r="S278" s="14">
        <v>126250</v>
      </c>
      <c r="T278" s="14">
        <v>130000</v>
      </c>
      <c r="U278" s="14">
        <v>296250</v>
      </c>
      <c r="V278" t="str">
        <f>IF(VLOOKUP(A278,Resources!A:B,2,FALSE)=0,"",VLOOKUP(A278,Resources!A:B,2,FALSE))</f>
        <v>https://www.sourcewatch.org/index.php/Empower_Mississippi</v>
      </c>
    </row>
    <row r="279" spans="1:22" x14ac:dyDescent="0.2">
      <c r="A279" s="12" t="s">
        <v>320</v>
      </c>
      <c r="B279" s="14"/>
      <c r="C279" s="14"/>
      <c r="D279" s="14"/>
      <c r="E279" s="14"/>
      <c r="F279" s="14"/>
      <c r="G279" s="14"/>
      <c r="H279" s="14"/>
      <c r="I279" s="14">
        <v>90000</v>
      </c>
      <c r="J279" s="14">
        <v>200000</v>
      </c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>
        <v>290000</v>
      </c>
      <c r="V279" t="str">
        <f>IF(VLOOKUP(A279,Resources!A:B,2,FALSE)=0,"",VLOOKUP(A279,Resources!A:B,2,FALSE))</f>
        <v/>
      </c>
    </row>
    <row r="280" spans="1:22" x14ac:dyDescent="0.2">
      <c r="A280" s="12" t="s">
        <v>322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>
        <v>25000</v>
      </c>
      <c r="M280" s="14">
        <v>19000</v>
      </c>
      <c r="N280" s="14">
        <v>35000</v>
      </c>
      <c r="O280" s="14">
        <v>47500</v>
      </c>
      <c r="P280" s="14"/>
      <c r="Q280" s="14">
        <v>35000</v>
      </c>
      <c r="R280" s="14">
        <v>118000</v>
      </c>
      <c r="S280" s="14"/>
      <c r="T280" s="14">
        <v>10000</v>
      </c>
      <c r="U280" s="14">
        <v>289500</v>
      </c>
      <c r="V280" t="str">
        <f>IF(VLOOKUP(A280,Resources!A:B,2,FALSE)=0,"",VLOOKUP(A280,Resources!A:B,2,FALSE))</f>
        <v>https://www.sourcewatch.org/index.php/Palmetto_Promise_Institute</v>
      </c>
    </row>
    <row r="281" spans="1:22" x14ac:dyDescent="0.2">
      <c r="A281" s="12" t="s">
        <v>247</v>
      </c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>
        <v>45000</v>
      </c>
      <c r="Q281" s="14">
        <v>51500</v>
      </c>
      <c r="R281" s="14">
        <v>55000</v>
      </c>
      <c r="S281" s="14">
        <v>50000</v>
      </c>
      <c r="T281" s="14">
        <v>79000</v>
      </c>
      <c r="U281" s="14">
        <v>280500</v>
      </c>
      <c r="V281" t="str">
        <f>IF(VLOOKUP(A281,Resources!A:B,2,FALSE)=0,"",VLOOKUP(A281,Resources!A:B,2,FALSE))</f>
        <v>https://www.sourcewatch.org/index.php/Badger_Institute</v>
      </c>
    </row>
    <row r="282" spans="1:22" x14ac:dyDescent="0.2">
      <c r="A282" s="12" t="s">
        <v>259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>
        <v>50700</v>
      </c>
      <c r="O282" s="14"/>
      <c r="P282" s="14">
        <v>50000</v>
      </c>
      <c r="Q282" s="14"/>
      <c r="R282" s="14">
        <v>46400</v>
      </c>
      <c r="S282" s="14"/>
      <c r="T282" s="14">
        <v>125000</v>
      </c>
      <c r="U282" s="14">
        <v>272100</v>
      </c>
      <c r="V282" t="str">
        <f>IF(VLOOKUP(A282,Resources!A:B,2,FALSE)=0,"",VLOOKUP(A282,Resources!A:B,2,FALSE))</f>
        <v>https://www.desmogblog.com/center-american-experiment</v>
      </c>
    </row>
    <row r="283" spans="1:22" x14ac:dyDescent="0.2">
      <c r="A283" s="12" t="s">
        <v>337</v>
      </c>
      <c r="B283" s="14"/>
      <c r="C283" s="14"/>
      <c r="D283" s="14"/>
      <c r="E283" s="14">
        <v>1324</v>
      </c>
      <c r="F283" s="14"/>
      <c r="G283" s="14"/>
      <c r="H283" s="14"/>
      <c r="I283" s="14"/>
      <c r="J283" s="14">
        <v>75000</v>
      </c>
      <c r="K283" s="14">
        <v>41000</v>
      </c>
      <c r="L283" s="14">
        <v>65100</v>
      </c>
      <c r="M283" s="14">
        <v>50000</v>
      </c>
      <c r="N283" s="14"/>
      <c r="O283" s="14"/>
      <c r="P283" s="14">
        <v>15000</v>
      </c>
      <c r="Q283" s="14">
        <v>10300</v>
      </c>
      <c r="R283" s="14"/>
      <c r="S283" s="14"/>
      <c r="T283" s="14"/>
      <c r="U283" s="14">
        <v>257724</v>
      </c>
      <c r="V283" t="str">
        <f>IF(VLOOKUP(A283,Resources!A:B,2,FALSE)=0,"",VLOOKUP(A283,Resources!A:B,2,FALSE))</f>
        <v>http://www.sourcewatch.org/index.php/Sutherland_Institute</v>
      </c>
    </row>
    <row r="284" spans="1:22" x14ac:dyDescent="0.2">
      <c r="A284" s="12" t="s">
        <v>323</v>
      </c>
      <c r="B284" s="14"/>
      <c r="C284" s="14"/>
      <c r="D284" s="14"/>
      <c r="E284" s="14">
        <v>5000</v>
      </c>
      <c r="F284" s="14">
        <v>240000</v>
      </c>
      <c r="G284" s="14"/>
      <c r="H284" s="14">
        <v>8000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>
        <v>253000</v>
      </c>
      <c r="V284" t="str">
        <f>IF(VLOOKUP(A284,Resources!A:B,2,FALSE)=0,"",VLOOKUP(A284,Resources!A:B,2,FALSE))</f>
        <v>https://www.sourcewatch.org/index.php/Pelican_Institute</v>
      </c>
    </row>
    <row r="285" spans="1:22" x14ac:dyDescent="0.2">
      <c r="A285" s="12" t="s">
        <v>313</v>
      </c>
      <c r="B285" s="14"/>
      <c r="C285" s="14"/>
      <c r="D285" s="14"/>
      <c r="E285" s="14">
        <v>76197</v>
      </c>
      <c r="F285" s="14">
        <v>85000</v>
      </c>
      <c r="G285" s="14"/>
      <c r="H285" s="14"/>
      <c r="I285" s="14">
        <v>53000</v>
      </c>
      <c r="J285" s="14">
        <v>27000</v>
      </c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>
        <v>241197</v>
      </c>
      <c r="V285" t="str">
        <f>IF(VLOOKUP(A285,Resources!A:B,2,FALSE)=0,"",VLOOKUP(A285,Resources!A:B,2,FALSE))</f>
        <v>http://www.sourcewatch.org/index.php/North_Dakota_Policy_Council</v>
      </c>
    </row>
    <row r="286" spans="1:22" x14ac:dyDescent="0.2">
      <c r="A286" s="12" t="s">
        <v>235</v>
      </c>
      <c r="B286" s="14"/>
      <c r="C286" s="14"/>
      <c r="D286" s="14">
        <v>26000</v>
      </c>
      <c r="E286" s="14"/>
      <c r="F286" s="14"/>
      <c r="G286" s="14">
        <v>30000</v>
      </c>
      <c r="H286" s="14"/>
      <c r="I286" s="14"/>
      <c r="J286" s="14">
        <v>10000</v>
      </c>
      <c r="K286" s="14"/>
      <c r="L286" s="14">
        <v>15000</v>
      </c>
      <c r="M286" s="14">
        <v>35000</v>
      </c>
      <c r="N286" s="14"/>
      <c r="O286" s="14">
        <v>15000</v>
      </c>
      <c r="P286" s="14">
        <v>40000</v>
      </c>
      <c r="Q286" s="14"/>
      <c r="R286" s="14"/>
      <c r="S286" s="14">
        <v>50000</v>
      </c>
      <c r="T286" s="14"/>
      <c r="U286" s="14">
        <v>221000</v>
      </c>
      <c r="V286" t="str">
        <f>IF(VLOOKUP(A286,Resources!A:B,2,FALSE)=0,"",VLOOKUP(A286,Resources!A:B,2,FALSE))</f>
        <v>http://www.sourcewatch.org/index.php/Alabama_Policy_Institute</v>
      </c>
    </row>
    <row r="287" spans="1:22" x14ac:dyDescent="0.2">
      <c r="A287" s="12" t="s">
        <v>330</v>
      </c>
      <c r="B287" s="14"/>
      <c r="C287" s="14"/>
      <c r="D287" s="14"/>
      <c r="E287" s="14"/>
      <c r="F287" s="14"/>
      <c r="G287" s="14"/>
      <c r="H287" s="14"/>
      <c r="I287" s="14">
        <v>122000</v>
      </c>
      <c r="J287" s="14"/>
      <c r="K287" s="14">
        <v>38000</v>
      </c>
      <c r="L287" s="14"/>
      <c r="M287" s="14">
        <v>49000</v>
      </c>
      <c r="N287" s="14"/>
      <c r="O287" s="14"/>
      <c r="P287" s="14"/>
      <c r="Q287" s="14">
        <v>8500</v>
      </c>
      <c r="R287" s="14"/>
      <c r="S287" s="14"/>
      <c r="T287" s="14"/>
      <c r="U287" s="14">
        <v>217500</v>
      </c>
      <c r="V287" t="str">
        <f>IF(VLOOKUP(A287,Resources!A:B,2,FALSE)=0,"",VLOOKUP(A287,Resources!A:B,2,FALSE))</f>
        <v>http://www.sourcewatch.org/index.php/Rhode_Island_Center_for_Freedom_and_Prosperity</v>
      </c>
    </row>
    <row r="288" spans="1:22" x14ac:dyDescent="0.2">
      <c r="A288" s="12" t="s">
        <v>344</v>
      </c>
      <c r="B288" s="14">
        <v>7200</v>
      </c>
      <c r="C288" s="14"/>
      <c r="D288" s="14"/>
      <c r="E288" s="14">
        <v>15000</v>
      </c>
      <c r="F288" s="14"/>
      <c r="G288" s="14"/>
      <c r="H288" s="14"/>
      <c r="I288" s="14">
        <v>50000</v>
      </c>
      <c r="J288" s="14"/>
      <c r="K288" s="14"/>
      <c r="L288" s="14">
        <v>15000</v>
      </c>
      <c r="M288" s="14"/>
      <c r="N288" s="14"/>
      <c r="O288" s="14"/>
      <c r="P288" s="14"/>
      <c r="Q288" s="14">
        <v>40000</v>
      </c>
      <c r="R288" s="14">
        <v>25000</v>
      </c>
      <c r="S288" s="14">
        <v>10000</v>
      </c>
      <c r="T288" s="14">
        <v>35000</v>
      </c>
      <c r="U288" s="14">
        <v>197200</v>
      </c>
      <c r="V288" t="str">
        <f>IF(VLOOKUP(A288,Resources!A:B,2,FALSE)=0,"",VLOOKUP(A288,Resources!A:B,2,FALSE))</f>
        <v>http://www.sourcewatch.org/index.php/Thomas_Jefferson_Institute_for_Public_Policy</v>
      </c>
    </row>
    <row r="289" spans="1:22" x14ac:dyDescent="0.2">
      <c r="A289" s="12" t="s">
        <v>348</v>
      </c>
      <c r="B289" s="14">
        <v>18500</v>
      </c>
      <c r="C289" s="14"/>
      <c r="D289" s="14"/>
      <c r="E289" s="14">
        <v>7029</v>
      </c>
      <c r="F289" s="14"/>
      <c r="G289" s="14">
        <v>5000</v>
      </c>
      <c r="H289" s="14">
        <v>42750</v>
      </c>
      <c r="I289" s="14">
        <v>9675</v>
      </c>
      <c r="J289" s="14">
        <v>9250</v>
      </c>
      <c r="K289" s="14">
        <v>24628</v>
      </c>
      <c r="L289" s="14">
        <v>18000</v>
      </c>
      <c r="M289" s="14"/>
      <c r="N289" s="14"/>
      <c r="O289" s="14">
        <v>15250</v>
      </c>
      <c r="P289" s="14">
        <v>15000</v>
      </c>
      <c r="Q289" s="14">
        <v>30000</v>
      </c>
      <c r="R289" s="14"/>
      <c r="S289" s="14"/>
      <c r="T289" s="14"/>
      <c r="U289" s="14">
        <v>195082</v>
      </c>
      <c r="V289" t="str">
        <f>IF(VLOOKUP(A289,Resources!A:B,2,FALSE)=0,"",VLOOKUP(A289,Resources!A:B,2,FALSE))</f>
        <v>http://www.sourcewatch.org/index.php/Washington_Policy_Center</v>
      </c>
    </row>
    <row r="290" spans="1:22" x14ac:dyDescent="0.2">
      <c r="A290" s="12" t="s">
        <v>946</v>
      </c>
      <c r="B290" s="14"/>
      <c r="C290" s="14"/>
      <c r="D290" s="14"/>
      <c r="E290" s="14">
        <v>1386</v>
      </c>
      <c r="F290" s="14">
        <v>180000</v>
      </c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>
        <v>181386</v>
      </c>
      <c r="V290" t="str">
        <f>IF(VLOOKUP(A290,Resources!A:B,2,FALSE)=0,"",VLOOKUP(A290,Resources!A:B,2,FALSE))</f>
        <v>http://www.sourcewatch.org/index.php/Sam_Adams_Alliance</v>
      </c>
    </row>
    <row r="291" spans="1:22" x14ac:dyDescent="0.2">
      <c r="A291" s="12" t="s">
        <v>314</v>
      </c>
      <c r="B291" s="14"/>
      <c r="C291" s="14"/>
      <c r="D291" s="14"/>
      <c r="E291" s="14">
        <v>50916</v>
      </c>
      <c r="F291" s="14">
        <v>121250</v>
      </c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>
        <v>172166</v>
      </c>
      <c r="V291" t="str">
        <f>IF(VLOOKUP(A291,Resources!A:B,2,FALSE)=0,"",VLOOKUP(A291,Resources!A:B,2,FALSE))</f>
        <v/>
      </c>
    </row>
    <row r="292" spans="1:22" x14ac:dyDescent="0.2">
      <c r="A292" s="12" t="s">
        <v>267</v>
      </c>
      <c r="B292" s="14"/>
      <c r="C292" s="14"/>
      <c r="D292" s="14"/>
      <c r="E292" s="14"/>
      <c r="F292" s="14"/>
      <c r="G292" s="14">
        <v>20000</v>
      </c>
      <c r="H292" s="14">
        <v>150000</v>
      </c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>
        <v>170000</v>
      </c>
      <c r="V292" t="str">
        <f>IF(VLOOKUP(A292,Resources!A:B,2,FALSE)=0,"",VLOOKUP(A292,Resources!A:B,2,FALSE))</f>
        <v/>
      </c>
    </row>
    <row r="293" spans="1:22" x14ac:dyDescent="0.2">
      <c r="A293" s="12" t="s">
        <v>274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>
        <v>82500</v>
      </c>
      <c r="P293" s="14">
        <v>50000</v>
      </c>
      <c r="Q293" s="14"/>
      <c r="R293" s="14">
        <v>25000</v>
      </c>
      <c r="S293" s="14"/>
      <c r="T293" s="14"/>
      <c r="U293" s="14">
        <v>157500</v>
      </c>
      <c r="V293" t="str">
        <f>IF(VLOOKUP(A293,Resources!A:B,2,FALSE)=0,"",VLOOKUP(A293,Resources!A:B,2,FALSE))</f>
        <v>https://www.sourcewatch.org/index.php/Garden_State_Initiative</v>
      </c>
    </row>
    <row r="294" spans="1:22" x14ac:dyDescent="0.2">
      <c r="A294" s="12" t="s">
        <v>310</v>
      </c>
      <c r="B294" s="14"/>
      <c r="C294" s="14"/>
      <c r="D294" s="14"/>
      <c r="E294" s="14"/>
      <c r="F294" s="14"/>
      <c r="G294" s="14"/>
      <c r="H294" s="14">
        <v>38000</v>
      </c>
      <c r="I294" s="14"/>
      <c r="J294" s="14">
        <v>67000</v>
      </c>
      <c r="K294" s="14"/>
      <c r="L294" s="14">
        <v>22000</v>
      </c>
      <c r="M294" s="14"/>
      <c r="N294" s="14">
        <v>21500</v>
      </c>
      <c r="O294" s="14"/>
      <c r="P294" s="14"/>
      <c r="Q294" s="14"/>
      <c r="R294" s="14"/>
      <c r="S294" s="14"/>
      <c r="T294" s="14"/>
      <c r="U294" s="14">
        <v>148500</v>
      </c>
      <c r="V294" t="str">
        <f>IF(VLOOKUP(A294,Resources!A:B,2,FALSE)=0,"",VLOOKUP(A294,Resources!A:B,2,FALSE))</f>
        <v>http://www.sourcewatch.org/index.php/Montana_Policy_Institute</v>
      </c>
    </row>
    <row r="295" spans="1:22" x14ac:dyDescent="0.2">
      <c r="A295" s="12" t="s">
        <v>331</v>
      </c>
      <c r="B295" s="14">
        <v>12000</v>
      </c>
      <c r="C295" s="14"/>
      <c r="D295" s="14">
        <v>20000</v>
      </c>
      <c r="E295" s="14"/>
      <c r="F295" s="14">
        <v>35000</v>
      </c>
      <c r="G295" s="14">
        <v>30000</v>
      </c>
      <c r="H295" s="14"/>
      <c r="I295" s="14">
        <v>30000</v>
      </c>
      <c r="J295" s="14"/>
      <c r="K295" s="14"/>
      <c r="L295" s="14">
        <v>10250</v>
      </c>
      <c r="M295" s="14"/>
      <c r="N295" s="14"/>
      <c r="O295" s="14"/>
      <c r="P295" s="14"/>
      <c r="Q295" s="14"/>
      <c r="R295" s="14"/>
      <c r="S295" s="14"/>
      <c r="T295" s="14"/>
      <c r="U295" s="14">
        <v>137250</v>
      </c>
      <c r="V295" t="str">
        <f>IF(VLOOKUP(A295,Resources!A:B,2,FALSE)=0,"",VLOOKUP(A295,Resources!A:B,2,FALSE))</f>
        <v>http://www.sourcewatch.org/index.php/Rio_Grande_Foundation</v>
      </c>
    </row>
    <row r="296" spans="1:22" x14ac:dyDescent="0.2">
      <c r="A296" s="12" t="s">
        <v>316</v>
      </c>
      <c r="B296" s="14"/>
      <c r="C296" s="14"/>
      <c r="D296" s="14"/>
      <c r="E296" s="14"/>
      <c r="F296" s="14"/>
      <c r="G296" s="14">
        <v>125000</v>
      </c>
      <c r="H296" s="14">
        <v>10000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>
        <v>135000</v>
      </c>
      <c r="V296" t="str">
        <f>IF(VLOOKUP(A296,Resources!A:B,2,FALSE)=0,"",VLOOKUP(A296,Resources!A:B,2,FALSE))</f>
        <v/>
      </c>
    </row>
    <row r="297" spans="1:22" x14ac:dyDescent="0.2">
      <c r="A297" s="12" t="s">
        <v>293</v>
      </c>
      <c r="B297" s="14"/>
      <c r="C297" s="14"/>
      <c r="D297" s="14"/>
      <c r="E297" s="14"/>
      <c r="F297" s="14"/>
      <c r="G297" s="14"/>
      <c r="H297" s="14"/>
      <c r="I297" s="14"/>
      <c r="J297" s="14">
        <v>30000</v>
      </c>
      <c r="K297" s="14"/>
      <c r="L297" s="14">
        <v>10000</v>
      </c>
      <c r="M297" s="14"/>
      <c r="N297" s="14">
        <v>40000</v>
      </c>
      <c r="O297" s="14"/>
      <c r="P297" s="14"/>
      <c r="Q297" s="14"/>
      <c r="R297" s="14">
        <v>51000</v>
      </c>
      <c r="S297" s="14"/>
      <c r="T297" s="14"/>
      <c r="U297" s="14">
        <v>131000</v>
      </c>
      <c r="V297" t="str">
        <f>IF(VLOOKUP(A297,Resources!A:B,2,FALSE)=0,"",VLOOKUP(A297,Resources!A:B,2,FALSE))</f>
        <v>http://www.sourcewatch.org/index.php/Civitas</v>
      </c>
    </row>
    <row r="298" spans="1:22" x14ac:dyDescent="0.2">
      <c r="A298" s="12" t="s">
        <v>294</v>
      </c>
      <c r="B298" s="14"/>
      <c r="C298" s="14"/>
      <c r="D298" s="14"/>
      <c r="E298" s="14">
        <v>819</v>
      </c>
      <c r="F298" s="14"/>
      <c r="G298" s="14">
        <v>26000</v>
      </c>
      <c r="H298" s="14"/>
      <c r="I298" s="14"/>
      <c r="J298" s="14"/>
      <c r="K298" s="14">
        <v>23250</v>
      </c>
      <c r="L298" s="14"/>
      <c r="M298" s="14"/>
      <c r="N298" s="14"/>
      <c r="O298" s="14"/>
      <c r="P298" s="14"/>
      <c r="Q298" s="14"/>
      <c r="R298" s="14"/>
      <c r="S298" s="14"/>
      <c r="T298" s="14">
        <v>75000</v>
      </c>
      <c r="U298" s="14">
        <v>125069</v>
      </c>
      <c r="V298" t="str">
        <f>IF(VLOOKUP(A298,Resources!A:B,2,FALSE)=0,"",VLOOKUP(A298,Resources!A:B,2,FALSE))</f>
        <v>http://www.sourcewatch.org/index.php/Josiah_Bartlett_Center_for_Public_Policy</v>
      </c>
    </row>
    <row r="299" spans="1:22" x14ac:dyDescent="0.2">
      <c r="A299" s="12" t="s">
        <v>288</v>
      </c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>
        <v>125000</v>
      </c>
      <c r="U299" s="14">
        <v>125000</v>
      </c>
      <c r="V299" t="str">
        <f>IF(VLOOKUP(A299,Resources!A:B,2,FALSE)=0,"",VLOOKUP(A299,Resources!A:B,2,FALSE))</f>
        <v/>
      </c>
    </row>
    <row r="300" spans="1:22" x14ac:dyDescent="0.2">
      <c r="A300" s="12" t="s">
        <v>309</v>
      </c>
      <c r="B300" s="14"/>
      <c r="C300" s="14"/>
      <c r="D300" s="14"/>
      <c r="E300" s="14">
        <v>6044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>
        <v>25000</v>
      </c>
      <c r="Q300" s="14">
        <v>25400</v>
      </c>
      <c r="R300" s="14">
        <v>17500</v>
      </c>
      <c r="S300" s="14"/>
      <c r="T300" s="14">
        <v>50000</v>
      </c>
      <c r="U300" s="14">
        <v>123944</v>
      </c>
      <c r="V300" t="str">
        <f>IF(VLOOKUP(A300,Resources!A:B,2,FALSE)=0,"",VLOOKUP(A300,Resources!A:B,2,FALSE))</f>
        <v>http://www.sourcewatch.org/index.php/Mississippi_Center_for_Public_Policy</v>
      </c>
    </row>
    <row r="301" spans="1:22" x14ac:dyDescent="0.2">
      <c r="A301" s="12" t="s">
        <v>304</v>
      </c>
      <c r="B301" s="14"/>
      <c r="C301" s="14"/>
      <c r="D301" s="14"/>
      <c r="E301" s="14"/>
      <c r="F301" s="14">
        <v>75000</v>
      </c>
      <c r="G301" s="14"/>
      <c r="H301" s="14"/>
      <c r="I301" s="14"/>
      <c r="J301" s="14"/>
      <c r="K301" s="14"/>
      <c r="L301" s="14">
        <v>46600</v>
      </c>
      <c r="M301" s="14"/>
      <c r="N301" s="14"/>
      <c r="O301" s="14"/>
      <c r="P301" s="14"/>
      <c r="Q301" s="14"/>
      <c r="R301" s="14"/>
      <c r="S301" s="14"/>
      <c r="T301" s="14"/>
      <c r="U301" s="14">
        <v>121600</v>
      </c>
      <c r="V301" t="str">
        <f>IF(VLOOKUP(A301,Resources!A:B,2,FALSE)=0,"",VLOOKUP(A301,Resources!A:B,2,FALSE))</f>
        <v>http://www.sourcewatch.org/index.php/MacIver_Institute</v>
      </c>
    </row>
    <row r="302" spans="1:22" x14ac:dyDescent="0.2">
      <c r="A302" s="12" t="s">
        <v>335</v>
      </c>
      <c r="B302" s="14"/>
      <c r="C302" s="14"/>
      <c r="D302" s="14"/>
      <c r="E302" s="14"/>
      <c r="F302" s="14"/>
      <c r="G302" s="14"/>
      <c r="H302" s="14"/>
      <c r="I302" s="14"/>
      <c r="J302" s="14">
        <v>25000</v>
      </c>
      <c r="K302" s="14">
        <v>22500</v>
      </c>
      <c r="L302" s="14">
        <v>71000</v>
      </c>
      <c r="M302" s="14"/>
      <c r="N302" s="14"/>
      <c r="O302" s="14"/>
      <c r="P302" s="14"/>
      <c r="Q302" s="14"/>
      <c r="R302" s="14"/>
      <c r="S302" s="14"/>
      <c r="T302" s="14"/>
      <c r="U302" s="14">
        <v>118500</v>
      </c>
      <c r="V302" t="str">
        <f>IF(VLOOKUP(A302,Resources!A:B,2,FALSE)=0,"",VLOOKUP(A302,Resources!A:B,2,FALSE))</f>
        <v>https://www.sourcewatch.org/index.php/Spark_Freedom</v>
      </c>
    </row>
    <row r="303" spans="1:22" x14ac:dyDescent="0.2">
      <c r="A303" s="12" t="s">
        <v>250</v>
      </c>
      <c r="B303" s="14"/>
      <c r="C303" s="14"/>
      <c r="D303" s="14"/>
      <c r="E303" s="14">
        <v>28750</v>
      </c>
      <c r="F303" s="14">
        <v>29250</v>
      </c>
      <c r="G303" s="14"/>
      <c r="H303" s="14">
        <v>29500</v>
      </c>
      <c r="I303" s="14">
        <v>29500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117000</v>
      </c>
      <c r="V303" t="str">
        <f>IF(VLOOKUP(A303,Resources!A:B,2,FALSE)=0,"",VLOOKUP(A303,Resources!A:B,2,FALSE))</f>
        <v>https://www.desmogblog.com/beacon-hill-institute</v>
      </c>
    </row>
    <row r="304" spans="1:22" x14ac:dyDescent="0.2">
      <c r="A304" s="12" t="s">
        <v>234</v>
      </c>
      <c r="B304" s="14"/>
      <c r="C304" s="14"/>
      <c r="D304" s="14"/>
      <c r="E304" s="14"/>
      <c r="F304" s="14"/>
      <c r="G304" s="14"/>
      <c r="H304" s="14"/>
      <c r="I304" s="14">
        <v>50000</v>
      </c>
      <c r="J304" s="14"/>
      <c r="K304" s="14">
        <v>35000</v>
      </c>
      <c r="L304" s="14">
        <v>26000</v>
      </c>
      <c r="M304" s="14"/>
      <c r="N304" s="14"/>
      <c r="O304" s="14"/>
      <c r="P304" s="14"/>
      <c r="Q304" s="14"/>
      <c r="R304" s="14"/>
      <c r="S304" s="14"/>
      <c r="T304" s="14"/>
      <c r="U304" s="14">
        <v>111000</v>
      </c>
      <c r="V304" t="str">
        <f>IF(VLOOKUP(A304,Resources!A:B,2,FALSE)=0,"",VLOOKUP(A304,Resources!A:B,2,FALSE))</f>
        <v>http://www.sourcewatch.org/index.php/Advance_Arkansas_Institute</v>
      </c>
    </row>
    <row r="305" spans="1:22" x14ac:dyDescent="0.2">
      <c r="A305" s="12" t="s">
        <v>242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>
        <v>60000</v>
      </c>
      <c r="R305" s="14">
        <v>50000</v>
      </c>
      <c r="S305" s="14"/>
      <c r="T305" s="14"/>
      <c r="U305" s="14">
        <v>110000</v>
      </c>
      <c r="V305" t="str">
        <f>IF(VLOOKUP(A305,Resources!A:B,2,FALSE)=0,"",VLOOKUP(A305,Resources!A:B,2,FALSE))</f>
        <v>https://www.sourcewatch.org/index.php/Americans_for_Fair_Treatment</v>
      </c>
    </row>
    <row r="306" spans="1:22" x14ac:dyDescent="0.2">
      <c r="A306" s="12" t="s">
        <v>280</v>
      </c>
      <c r="B306" s="14"/>
      <c r="C306" s="14">
        <v>2500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>
        <v>46400</v>
      </c>
      <c r="R306" s="14"/>
      <c r="S306" s="14"/>
      <c r="T306" s="14">
        <v>55500</v>
      </c>
      <c r="U306" s="14">
        <v>104400</v>
      </c>
      <c r="V306" t="str">
        <f>IF(VLOOKUP(A306,Resources!A:B,2,FALSE)=0,"",VLOOKUP(A306,Resources!A:B,2,FALSE))</f>
        <v>http://www.sourcewatch.org/index.php/Grassroot_Institute_of_Hawaii</v>
      </c>
    </row>
    <row r="307" spans="1:22" x14ac:dyDescent="0.2">
      <c r="A307" s="12" t="s">
        <v>272</v>
      </c>
      <c r="B307" s="14"/>
      <c r="C307" s="14"/>
      <c r="D307" s="14"/>
      <c r="E307" s="14"/>
      <c r="F307" s="14"/>
      <c r="G307" s="14"/>
      <c r="H307" s="14"/>
      <c r="I307" s="14"/>
      <c r="J307" s="14">
        <v>100000</v>
      </c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100000</v>
      </c>
      <c r="V307" t="str">
        <f>IF(VLOOKUP(A307,Resources!A:B,2,FALSE)=0,"",VLOOKUP(A307,Resources!A:B,2,FALSE))</f>
        <v>https://www.desmogblog.com/franklin-centre-government-and-public-integrity</v>
      </c>
    </row>
    <row r="308" spans="1:22" x14ac:dyDescent="0.2">
      <c r="A308" s="12" t="s">
        <v>298</v>
      </c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>
        <v>60000</v>
      </c>
      <c r="R308" s="14">
        <v>35000</v>
      </c>
      <c r="S308" s="14"/>
      <c r="T308" s="14"/>
      <c r="U308" s="14">
        <v>95000</v>
      </c>
      <c r="V308" t="str">
        <f>IF(VLOOKUP(A308,Resources!A:B,2,FALSE)=0,"",VLOOKUP(A308,Resources!A:B,2,FALSE))</f>
        <v>https://www.sourcewatch.org/index.php/Liberty_Justice_Center</v>
      </c>
    </row>
    <row r="309" spans="1:22" x14ac:dyDescent="0.2">
      <c r="A309" s="12" t="s">
        <v>312</v>
      </c>
      <c r="B309" s="14"/>
      <c r="C309" s="14">
        <v>7500</v>
      </c>
      <c r="D309" s="14"/>
      <c r="E309" s="14"/>
      <c r="F309" s="14"/>
      <c r="G309" s="14"/>
      <c r="H309" s="14">
        <v>35500</v>
      </c>
      <c r="I309" s="14"/>
      <c r="J309" s="14"/>
      <c r="K309" s="14"/>
      <c r="L309" s="14"/>
      <c r="M309" s="14"/>
      <c r="N309" s="14"/>
      <c r="O309" s="14">
        <v>25600</v>
      </c>
      <c r="P309" s="14"/>
      <c r="Q309" s="14">
        <v>25000</v>
      </c>
      <c r="R309" s="14"/>
      <c r="S309" s="14"/>
      <c r="T309" s="14"/>
      <c r="U309" s="14">
        <v>93600</v>
      </c>
      <c r="V309" t="str">
        <f>IF(VLOOKUP(A309,Resources!A:B,2,FALSE)=0,"",VLOOKUP(A309,Resources!A:B,2,FALSE))</f>
        <v>http://www.sourcewatch.org/index.php/Nevada_Policy_Research_Institute</v>
      </c>
    </row>
    <row r="310" spans="1:22" x14ac:dyDescent="0.2">
      <c r="A310" s="12" t="s">
        <v>351</v>
      </c>
      <c r="B310" s="14">
        <v>7500</v>
      </c>
      <c r="C310" s="14"/>
      <c r="D310" s="14">
        <v>25000</v>
      </c>
      <c r="E310" s="14">
        <v>61055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>
        <v>93555</v>
      </c>
      <c r="V310" t="str">
        <f>IF(VLOOKUP(A310,Resources!A:B,2,FALSE)=0,"",VLOOKUP(A310,Resources!A:B,2,FALSE))</f>
        <v>http://www.sourcewatch.org/index.php/Wisconsin_Policy_Research_Institute</v>
      </c>
    </row>
    <row r="311" spans="1:22" x14ac:dyDescent="0.2">
      <c r="A311" s="12" t="s">
        <v>352</v>
      </c>
      <c r="B311" s="14"/>
      <c r="C311" s="14"/>
      <c r="D311" s="14"/>
      <c r="E311" s="14"/>
      <c r="F311" s="14"/>
      <c r="G311" s="14">
        <v>90000</v>
      </c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>
        <v>90000</v>
      </c>
      <c r="V311" t="str">
        <f>IF(VLOOKUP(A311,Resources!A:B,2,FALSE)=0,"",VLOOKUP(A311,Resources!A:B,2,FALSE))</f>
        <v>http://www.sourcewatch.org/index.php/Wyoming_Liberty_Group</v>
      </c>
    </row>
    <row r="312" spans="1:22" x14ac:dyDescent="0.2">
      <c r="A312" s="12" t="s">
        <v>343</v>
      </c>
      <c r="B312" s="14"/>
      <c r="C312" s="14"/>
      <c r="D312" s="14"/>
      <c r="E312" s="14"/>
      <c r="F312" s="14">
        <v>82000</v>
      </c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>
        <v>82000</v>
      </c>
      <c r="V312" t="str">
        <f>IF(VLOOKUP(A312,Resources!A:B,2,FALSE)=0,"",VLOOKUP(A312,Resources!A:B,2,FALSE))</f>
        <v>http://www.sourcewatch.org/index.php/Texas_Watchdog</v>
      </c>
    </row>
    <row r="313" spans="1:22" x14ac:dyDescent="0.2">
      <c r="A313" s="12" t="s">
        <v>263</v>
      </c>
      <c r="B313" s="14"/>
      <c r="C313" s="14"/>
      <c r="D313" s="14"/>
      <c r="E313" s="14"/>
      <c r="F313" s="14">
        <v>81791</v>
      </c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>
        <v>81791</v>
      </c>
      <c r="V313" t="str">
        <f>IF(VLOOKUP(A313,Resources!A:B,2,FALSE)=0,"",VLOOKUP(A313,Resources!A:B,2,FALSE))</f>
        <v/>
      </c>
    </row>
    <row r="314" spans="1:22" x14ac:dyDescent="0.2">
      <c r="A314" s="12" t="s">
        <v>306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>
        <v>80000</v>
      </c>
      <c r="T314" s="14"/>
      <c r="U314" s="14">
        <v>80000</v>
      </c>
      <c r="V314" t="str">
        <f>IF(VLOOKUP(A314,Resources!A:B,2,FALSE)=0,"",VLOOKUP(A314,Resources!A:B,2,FALSE))</f>
        <v>https://www.sourcewatch.org/index.php/Maine_Policy_Institute</v>
      </c>
    </row>
    <row r="315" spans="1:22" x14ac:dyDescent="0.2">
      <c r="A315" s="12" t="s">
        <v>251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>
        <v>30000</v>
      </c>
      <c r="L315" s="14"/>
      <c r="M315" s="14"/>
      <c r="N315" s="14"/>
      <c r="O315" s="14">
        <v>10000</v>
      </c>
      <c r="P315" s="14"/>
      <c r="Q315" s="14">
        <v>20000</v>
      </c>
      <c r="R315" s="14">
        <v>20000</v>
      </c>
      <c r="S315" s="14"/>
      <c r="T315" s="14"/>
      <c r="U315" s="14">
        <v>80000</v>
      </c>
      <c r="V315" t="str">
        <f>IF(VLOOKUP(A315,Resources!A:B,2,FALSE)=0,"",VLOOKUP(A315,Resources!A:B,2,FALSE))</f>
        <v>http://www.sourcewatch.org/index.php/Bluegrass_Institute_for_Public_Policy_Solutions</v>
      </c>
    </row>
    <row r="316" spans="1:22" x14ac:dyDescent="0.2">
      <c r="A316" s="12" t="s">
        <v>273</v>
      </c>
      <c r="B316" s="14"/>
      <c r="C316" s="14"/>
      <c r="D316" s="14"/>
      <c r="E316" s="14">
        <v>40000</v>
      </c>
      <c r="F316" s="14"/>
      <c r="G316" s="14"/>
      <c r="H316" s="14"/>
      <c r="I316" s="14"/>
      <c r="J316" s="14">
        <v>29500</v>
      </c>
      <c r="K316" s="14">
        <v>10000</v>
      </c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79500</v>
      </c>
      <c r="V316" t="str">
        <f>IF(VLOOKUP(A316,Resources!A:B,2,FALSE)=0,"",VLOOKUP(A316,Resources!A:B,2,FALSE))</f>
        <v>https://www.desmogblog.com/freedom-foundation-minnesota</v>
      </c>
    </row>
    <row r="317" spans="1:22" x14ac:dyDescent="0.2">
      <c r="A317" s="12" t="s">
        <v>281</v>
      </c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>
        <v>75000</v>
      </c>
      <c r="S317" s="14"/>
      <c r="T317" s="14"/>
      <c r="U317" s="14">
        <v>75000</v>
      </c>
      <c r="V317" t="str">
        <f>IF(VLOOKUP(A317,Resources!A:B,2,FALSE)=0,"",VLOOKUP(A317,Resources!A:B,2,FALSE))</f>
        <v/>
      </c>
    </row>
    <row r="318" spans="1:22" x14ac:dyDescent="0.2">
      <c r="A318" s="12" t="s">
        <v>321</v>
      </c>
      <c r="B318" s="14"/>
      <c r="C318" s="14">
        <v>50000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>
        <v>25000</v>
      </c>
      <c r="P318" s="14"/>
      <c r="Q318" s="14"/>
      <c r="R318" s="14"/>
      <c r="S318" s="14"/>
      <c r="T318" s="14"/>
      <c r="U318" s="14">
        <v>75000</v>
      </c>
      <c r="V318" t="str">
        <f>IF(VLOOKUP(A318,Resources!A:B,2,FALSE)=0,"",VLOOKUP(A318,Resources!A:B,2,FALSE))</f>
        <v>http://www.sourcewatch.org/index.php/Pacific_Research_Institute</v>
      </c>
    </row>
    <row r="319" spans="1:22" x14ac:dyDescent="0.2">
      <c r="A319" s="12" t="s">
        <v>311</v>
      </c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>
        <v>75000</v>
      </c>
      <c r="T319" s="14"/>
      <c r="U319" s="14">
        <v>75000</v>
      </c>
      <c r="V319" t="str">
        <f>IF(VLOOKUP(A319,Resources!A:B,2,FALSE)=0,"",VLOOKUP(A319,Resources!A:B,2,FALSE))</f>
        <v/>
      </c>
    </row>
    <row r="320" spans="1:22" x14ac:dyDescent="0.2">
      <c r="A320" s="12" t="s">
        <v>238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>
        <v>70000</v>
      </c>
      <c r="R320" s="14"/>
      <c r="S320" s="14"/>
      <c r="T320" s="14"/>
      <c r="U320" s="14">
        <v>70000</v>
      </c>
      <c r="V320" t="str">
        <f>IF(VLOOKUP(A320,Resources!A:B,2,FALSE)=0,"",VLOOKUP(A320,Resources!A:B,2,FALSE))</f>
        <v/>
      </c>
    </row>
    <row r="321" spans="1:22" x14ac:dyDescent="0.2">
      <c r="A321" s="12" t="s">
        <v>253</v>
      </c>
      <c r="B321" s="14"/>
      <c r="C321" s="14"/>
      <c r="D321" s="14"/>
      <c r="E321" s="14"/>
      <c r="F321" s="14">
        <v>40000</v>
      </c>
      <c r="G321" s="14"/>
      <c r="H321" s="14">
        <v>26000</v>
      </c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66000</v>
      </c>
      <c r="V321" t="str">
        <f>IF(VLOOKUP(A321,Resources!A:B,2,FALSE)=0,"",VLOOKUP(A321,Resources!A:B,2,FALSE))</f>
        <v>http://www.sourcewatch.org/index.php/Caesar_Rodney_Institute</v>
      </c>
    </row>
    <row r="322" spans="1:22" x14ac:dyDescent="0.2">
      <c r="A322" s="12" t="s">
        <v>347</v>
      </c>
      <c r="B322" s="14"/>
      <c r="C322" s="14"/>
      <c r="D322" s="14"/>
      <c r="E322" s="14"/>
      <c r="F322" s="14">
        <v>28941</v>
      </c>
      <c r="G322" s="14">
        <v>30000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58941</v>
      </c>
      <c r="V322" t="str">
        <f>IF(VLOOKUP(A322,Resources!A:B,2,FALSE)=0,"",VLOOKUP(A322,Resources!A:B,2,FALSE))</f>
        <v>http://www.sourcewatch.org/index.php/Virginia_Institute_for_Public_Policy</v>
      </c>
    </row>
    <row r="323" spans="1:22" x14ac:dyDescent="0.2">
      <c r="A323" s="12" t="s">
        <v>340</v>
      </c>
      <c r="B323" s="14"/>
      <c r="C323" s="14"/>
      <c r="D323" s="14"/>
      <c r="E323" s="14">
        <v>52589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52589</v>
      </c>
      <c r="V323" t="str">
        <f>IF(VLOOKUP(A323,Resources!A:B,2,FALSE)=0,"",VLOOKUP(A323,Resources!A:B,2,FALSE))</f>
        <v>https://www.sourcewatch.org/index.php/Beacon_Center_of_Tennessee</v>
      </c>
    </row>
    <row r="324" spans="1:22" x14ac:dyDescent="0.2">
      <c r="A324" s="12" t="s">
        <v>284</v>
      </c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>
        <v>50736</v>
      </c>
      <c r="U324" s="14">
        <v>50736</v>
      </c>
      <c r="V324" t="str">
        <f>IF(VLOOKUP(A324,Resources!A:B,2,FALSE)=0,"",VLOOKUP(A324,Resources!A:B,2,FALSE))</f>
        <v/>
      </c>
    </row>
    <row r="325" spans="1:22" x14ac:dyDescent="0.2">
      <c r="A325" s="12" t="s">
        <v>299</v>
      </c>
      <c r="B325" s="14"/>
      <c r="C325" s="14"/>
      <c r="D325" s="14"/>
      <c r="E325" s="14"/>
      <c r="F325" s="14"/>
      <c r="G325" s="14">
        <v>50000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50000</v>
      </c>
      <c r="V325" t="str">
        <f>IF(VLOOKUP(A325,Resources!A:B,2,FALSE)=0,"",VLOOKUP(A325,Resources!A:B,2,FALSE))</f>
        <v/>
      </c>
    </row>
    <row r="326" spans="1:22" x14ac:dyDescent="0.2">
      <c r="A326" s="12" t="s">
        <v>261</v>
      </c>
      <c r="B326" s="14"/>
      <c r="C326" s="14"/>
      <c r="D326" s="14"/>
      <c r="E326" s="14"/>
      <c r="F326" s="14"/>
      <c r="G326" s="14">
        <v>50000</v>
      </c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>
        <v>50000</v>
      </c>
      <c r="V326" t="str">
        <f>IF(VLOOKUP(A326,Resources!A:B,2,FALSE)=0,"",VLOOKUP(A326,Resources!A:B,2,FALSE))</f>
        <v>http://www.sourcewatch.org/index.php/Common_Sense_Institute</v>
      </c>
    </row>
    <row r="327" spans="1:22" x14ac:dyDescent="0.2">
      <c r="A327" s="12" t="s">
        <v>248</v>
      </c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>
        <v>50000</v>
      </c>
      <c r="S327" s="14"/>
      <c r="T327" s="14"/>
      <c r="U327" s="14">
        <v>50000</v>
      </c>
      <c r="V327" t="str">
        <f>IF(VLOOKUP(A327,Resources!A:B,2,FALSE)=0,"",VLOOKUP(A327,Resources!A:B,2,FALSE))</f>
        <v>https://www.sourcewatch.org/index.php/Ballotpedia</v>
      </c>
    </row>
    <row r="328" spans="1:22" x14ac:dyDescent="0.2">
      <c r="A328" s="12" t="s">
        <v>329</v>
      </c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>
        <v>50000</v>
      </c>
      <c r="U328" s="14">
        <v>50000</v>
      </c>
      <c r="V328" t="str">
        <f>IF(VLOOKUP(A328,Resources!A:B,2,FALSE)=0,"",VLOOKUP(A328,Resources!A:B,2,FALSE))</f>
        <v/>
      </c>
    </row>
    <row r="329" spans="1:22" x14ac:dyDescent="0.2">
      <c r="A329" s="12" t="s">
        <v>258</v>
      </c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>
        <v>50000</v>
      </c>
      <c r="U329" s="14">
        <v>50000</v>
      </c>
      <c r="V329" t="str">
        <f>IF(VLOOKUP(A329,Resources!A:B,2,FALSE)=0,"",VLOOKUP(A329,Resources!A:B,2,FALSE))</f>
        <v>https://www.sourcewatch.org/index.php/Center_for_Law_and_Policy</v>
      </c>
    </row>
    <row r="330" spans="1:22" x14ac:dyDescent="0.2">
      <c r="A330" s="12" t="s">
        <v>240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>
        <v>40000</v>
      </c>
      <c r="S330" s="14"/>
      <c r="T330" s="14"/>
      <c r="U330" s="14">
        <v>40000</v>
      </c>
      <c r="V330" t="str">
        <f>IF(VLOOKUP(A330,Resources!A:B,2,FALSE)=0,"",VLOOKUP(A330,Resources!A:B,2,FALSE))</f>
        <v/>
      </c>
    </row>
    <row r="331" spans="1:22" x14ac:dyDescent="0.2">
      <c r="A331" s="12" t="s">
        <v>338</v>
      </c>
      <c r="B331" s="14"/>
      <c r="C331" s="14"/>
      <c r="D331" s="14"/>
      <c r="E331" s="14"/>
      <c r="F331" s="14"/>
      <c r="G331" s="14"/>
      <c r="H331" s="14"/>
      <c r="I331" s="14"/>
      <c r="J331" s="14"/>
      <c r="K331" s="14">
        <v>5000</v>
      </c>
      <c r="L331" s="14"/>
      <c r="M331" s="14">
        <v>5000</v>
      </c>
      <c r="N331" s="14"/>
      <c r="O331" s="14"/>
      <c r="P331" s="14">
        <v>15000</v>
      </c>
      <c r="Q331" s="14"/>
      <c r="R331" s="14"/>
      <c r="S331" s="14">
        <v>15000</v>
      </c>
      <c r="T331" s="14"/>
      <c r="U331" s="14">
        <v>40000</v>
      </c>
      <c r="V331" t="str">
        <f>IF(VLOOKUP(A331,Resources!A:B,2,FALSE)=0,"",VLOOKUP(A331,Resources!A:B,2,FALSE))</f>
        <v>https://www.sourcewatch.org/index.php/Talent_Market</v>
      </c>
    </row>
    <row r="332" spans="1:22" x14ac:dyDescent="0.2">
      <c r="A332" s="12" t="s">
        <v>346</v>
      </c>
      <c r="B332" s="14"/>
      <c r="C332" s="14"/>
      <c r="D332" s="14"/>
      <c r="E332" s="14"/>
      <c r="F332" s="14"/>
      <c r="G332" s="14"/>
      <c r="H332" s="14"/>
      <c r="I332" s="14"/>
      <c r="J332" s="14">
        <v>40000</v>
      </c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40000</v>
      </c>
      <c r="V332" t="str">
        <f>IF(VLOOKUP(A332,Resources!A:B,2,FALSE)=0,"",VLOOKUP(A332,Resources!A:B,2,FALSE))</f>
        <v>http://www.sourcewatch.org/index.php/True_the_Vote</v>
      </c>
    </row>
    <row r="333" spans="1:22" x14ac:dyDescent="0.2">
      <c r="A333" s="12" t="s">
        <v>283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>
        <v>37500</v>
      </c>
      <c r="U333" s="14">
        <v>37500</v>
      </c>
      <c r="V333" t="str">
        <f>IF(VLOOKUP(A333,Resources!A:B,2,FALSE)=0,"",VLOOKUP(A333,Resources!A:B,2,FALSE))</f>
        <v/>
      </c>
    </row>
    <row r="334" spans="1:22" x14ac:dyDescent="0.2">
      <c r="A334" s="12" t="s">
        <v>246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>
        <v>37500</v>
      </c>
      <c r="U334" s="14">
        <v>37500</v>
      </c>
      <c r="V334" t="str">
        <f>IF(VLOOKUP(A334,Resources!A:B,2,FALSE)=0,"",VLOOKUP(A334,Resources!A:B,2,FALSE))</f>
        <v/>
      </c>
    </row>
    <row r="335" spans="1:22" x14ac:dyDescent="0.2">
      <c r="A335" s="12" t="s">
        <v>189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>
        <v>35000</v>
      </c>
      <c r="R335" s="14"/>
      <c r="S335" s="14"/>
      <c r="T335" s="14"/>
      <c r="U335" s="14">
        <v>35000</v>
      </c>
      <c r="V335" t="str">
        <f>IF(VLOOKUP(A335,Resources!A:B,2,FALSE)=0,"",VLOOKUP(A335,Resources!A:B,2,FALSE))</f>
        <v>https://www.sourcewatch.org/index.php/Center_for_Independent_Employees</v>
      </c>
    </row>
    <row r="336" spans="1:22" x14ac:dyDescent="0.2">
      <c r="A336" s="12" t="s">
        <v>328</v>
      </c>
      <c r="B336" s="14"/>
      <c r="C336" s="14"/>
      <c r="D336" s="14"/>
      <c r="E336" s="14">
        <v>35000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>
        <v>35000</v>
      </c>
      <c r="V336" t="str">
        <f>IF(VLOOKUP(A336,Resources!A:B,2,FALSE)=0,"",VLOOKUP(A336,Resources!A:B,2,FALSE))</f>
        <v>http://www.sourcewatch.org/index.php/Public_Policy_Foundation_of_West_Virginia</v>
      </c>
    </row>
    <row r="337" spans="1:22" x14ac:dyDescent="0.2">
      <c r="A337" s="12" t="s">
        <v>349</v>
      </c>
      <c r="B337" s="14"/>
      <c r="C337" s="14"/>
      <c r="D337" s="14"/>
      <c r="E337" s="14"/>
      <c r="F337" s="14"/>
      <c r="G337" s="14"/>
      <c r="H337" s="14"/>
      <c r="I337" s="14"/>
      <c r="J337" s="14">
        <v>30000</v>
      </c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>
        <v>30000</v>
      </c>
      <c r="V337" t="str">
        <f>IF(VLOOKUP(A337,Resources!A:B,2,FALSE)=0,"",VLOOKUP(A337,Resources!A:B,2,FALSE))</f>
        <v/>
      </c>
    </row>
    <row r="338" spans="1:22" x14ac:dyDescent="0.2">
      <c r="A338" s="12" t="s">
        <v>341</v>
      </c>
      <c r="B338" s="14"/>
      <c r="C338" s="14"/>
      <c r="D338" s="14"/>
      <c r="E338" s="14"/>
      <c r="F338" s="14"/>
      <c r="G338" s="14"/>
      <c r="H338" s="14"/>
      <c r="I338" s="14"/>
      <c r="J338" s="14">
        <v>30000</v>
      </c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>
        <v>30000</v>
      </c>
      <c r="V338" t="str">
        <f>IF(VLOOKUP(A338,Resources!A:B,2,FALSE)=0,"",VLOOKUP(A338,Resources!A:B,2,FALSE))</f>
        <v>http://www.sourcewatch.org/index.php/Texas_Conservative_Coalition_Research_Institute</v>
      </c>
    </row>
    <row r="339" spans="1:22" x14ac:dyDescent="0.2">
      <c r="A339" s="12" t="s">
        <v>336</v>
      </c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>
        <v>30000</v>
      </c>
      <c r="M339" s="14"/>
      <c r="N339" s="14"/>
      <c r="O339" s="14"/>
      <c r="P339" s="14"/>
      <c r="Q339" s="14"/>
      <c r="R339" s="14"/>
      <c r="S339" s="14"/>
      <c r="T339" s="14"/>
      <c r="U339" s="14">
        <v>30000</v>
      </c>
      <c r="V339" t="str">
        <f>IF(VLOOKUP(A339,Resources!A:B,2,FALSE)=0,"",VLOOKUP(A339,Resources!A:B,2,FALSE))</f>
        <v/>
      </c>
    </row>
    <row r="340" spans="1:22" x14ac:dyDescent="0.2">
      <c r="A340" s="12" t="s">
        <v>307</v>
      </c>
      <c r="B340" s="14"/>
      <c r="C340" s="14"/>
      <c r="D340" s="14"/>
      <c r="E340" s="14"/>
      <c r="F340" s="14"/>
      <c r="G340" s="14"/>
      <c r="H340" s="14"/>
      <c r="I340" s="14"/>
      <c r="J340" s="14">
        <v>30000</v>
      </c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30000</v>
      </c>
      <c r="V340" t="str">
        <f>IF(VLOOKUP(A340,Resources!A:B,2,FALSE)=0,"",VLOOKUP(A340,Resources!A:B,2,FALSE))</f>
        <v>http://www.sourcewatch.org/index.php/Manhattan_Institute_for_Policy_Research</v>
      </c>
    </row>
    <row r="341" spans="1:22" x14ac:dyDescent="0.2">
      <c r="A341" s="12" t="s">
        <v>239</v>
      </c>
      <c r="B341" s="14"/>
      <c r="C341" s="14"/>
      <c r="D341" s="14"/>
      <c r="E341" s="14"/>
      <c r="F341" s="14"/>
      <c r="G341" s="14"/>
      <c r="H341" s="14"/>
      <c r="I341" s="14"/>
      <c r="J341" s="14">
        <v>25000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>
        <v>25000</v>
      </c>
      <c r="V341" t="str">
        <f>IF(VLOOKUP(A341,Resources!A:B,2,FALSE)=0,"",VLOOKUP(A341,Resources!A:B,2,FALSE))</f>
        <v/>
      </c>
    </row>
    <row r="342" spans="1:22" x14ac:dyDescent="0.2">
      <c r="A342" s="12" t="s">
        <v>266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>
        <v>24930</v>
      </c>
      <c r="L342" s="14"/>
      <c r="M342" s="14"/>
      <c r="N342" s="14"/>
      <c r="O342" s="14"/>
      <c r="P342" s="14"/>
      <c r="Q342" s="14"/>
      <c r="R342" s="14"/>
      <c r="S342" s="14"/>
      <c r="T342" s="14"/>
      <c r="U342" s="14">
        <v>24930</v>
      </c>
      <c r="V342" t="str">
        <f>IF(VLOOKUP(A342,Resources!A:B,2,FALSE)=0,"",VLOOKUP(A342,Resources!A:B,2,FALSE))</f>
        <v>http://www.sourcewatch.org/index.php/Ethan_Allen_Institute</v>
      </c>
    </row>
    <row r="343" spans="1:22" x14ac:dyDescent="0.2">
      <c r="A343" s="12" t="s">
        <v>297</v>
      </c>
      <c r="B343" s="14"/>
      <c r="C343" s="14"/>
      <c r="D343" s="14"/>
      <c r="E343" s="14"/>
      <c r="F343" s="14"/>
      <c r="G343" s="14"/>
      <c r="H343" s="14"/>
      <c r="I343" s="14"/>
      <c r="J343" s="14"/>
      <c r="K343" s="14">
        <v>24700</v>
      </c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24700</v>
      </c>
      <c r="V343" t="str">
        <f>IF(VLOOKUP(A343,Resources!A:B,2,FALSE)=0,"",VLOOKUP(A343,Resources!A:B,2,FALSE))</f>
        <v>http://www.sourcewatch.org/index.php/Liberty_Foundation_of_America</v>
      </c>
    </row>
    <row r="344" spans="1:22" x14ac:dyDescent="0.2">
      <c r="A344" s="12" t="s">
        <v>241</v>
      </c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>
        <v>24000</v>
      </c>
      <c r="P344" s="14"/>
      <c r="Q344" s="14"/>
      <c r="R344" s="14"/>
      <c r="S344" s="14"/>
      <c r="T344" s="14"/>
      <c r="U344" s="14">
        <v>24000</v>
      </c>
      <c r="V344" t="str">
        <f>IF(VLOOKUP(A344,Resources!A:B,2,FALSE)=0,"",VLOOKUP(A344,Resources!A:B,2,FALSE))</f>
        <v/>
      </c>
    </row>
    <row r="345" spans="1:22" x14ac:dyDescent="0.2">
      <c r="A345" s="12" t="s">
        <v>318</v>
      </c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>
        <v>23000</v>
      </c>
      <c r="U345" s="14">
        <v>23000</v>
      </c>
      <c r="V345" t="str">
        <f>IF(VLOOKUP(A345,Resources!A:B,2,FALSE)=0,"",VLOOKUP(A345,Resources!A:B,2,FALSE))</f>
        <v/>
      </c>
    </row>
    <row r="346" spans="1:22" x14ac:dyDescent="0.2">
      <c r="A346" s="12" t="s">
        <v>353</v>
      </c>
      <c r="B346" s="14"/>
      <c r="C346" s="14"/>
      <c r="D346" s="14"/>
      <c r="E346" s="14"/>
      <c r="F346" s="14"/>
      <c r="G346" s="14"/>
      <c r="H346" s="14"/>
      <c r="I346" s="14"/>
      <c r="J346" s="14">
        <v>22500</v>
      </c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22500</v>
      </c>
      <c r="V346" t="str">
        <f>IF(VLOOKUP(A346,Resources!A:B,2,FALSE)=0,"",VLOOKUP(A346,Resources!A:B,2,FALSE))</f>
        <v>http://www.sourcewatch.org/index.php/Wyoming_Policy_Institute</v>
      </c>
    </row>
    <row r="347" spans="1:22" x14ac:dyDescent="0.2">
      <c r="A347" s="12" t="s">
        <v>290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>
        <v>22400</v>
      </c>
      <c r="U347" s="14">
        <v>22400</v>
      </c>
      <c r="V347" t="str">
        <f>IF(VLOOKUP(A347,Resources!A:B,2,FALSE)=0,"",VLOOKUP(A347,Resources!A:B,2,FALSE))</f>
        <v>https://www.sourcewatch.org/index.php/Iowans_for_Tax_Relief_Foundation</v>
      </c>
    </row>
    <row r="348" spans="1:22" x14ac:dyDescent="0.2">
      <c r="A348" s="12" t="s">
        <v>327</v>
      </c>
      <c r="B348" s="14">
        <v>6250</v>
      </c>
      <c r="C348" s="14"/>
      <c r="D348" s="14"/>
      <c r="E348" s="14">
        <v>15000</v>
      </c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21250</v>
      </c>
      <c r="V348" t="str">
        <f>IF(VLOOKUP(A348,Resources!A:B,2,FALSE)=0,"",VLOOKUP(A348,Resources!A:B,2,FALSE))</f>
        <v>http://www.sourcewatch.org/index.php/Public_Interest_Institute</v>
      </c>
    </row>
    <row r="349" spans="1:22" x14ac:dyDescent="0.2">
      <c r="A349" s="12" t="s">
        <v>257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>
        <v>20000</v>
      </c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20000</v>
      </c>
      <c r="V349" t="str">
        <f>IF(VLOOKUP(A349,Resources!A:B,2,FALSE)=0,"",VLOOKUP(A349,Resources!A:B,2,FALSE))</f>
        <v>https://www.sourcewatch.org/index.php/1851_Center_for_Constitutional_Law</v>
      </c>
    </row>
    <row r="350" spans="1:22" x14ac:dyDescent="0.2">
      <c r="A350" s="12" t="s">
        <v>269</v>
      </c>
      <c r="B350" s="14"/>
      <c r="C350" s="14"/>
      <c r="D350" s="14"/>
      <c r="E350" s="14"/>
      <c r="F350" s="14"/>
      <c r="G350" s="14"/>
      <c r="H350" s="14"/>
      <c r="I350" s="14">
        <v>10000</v>
      </c>
      <c r="J350" s="14">
        <v>10000</v>
      </c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>
        <v>20000</v>
      </c>
      <c r="V350" t="str">
        <f>IF(VLOOKUP(A350,Resources!A:B,2,FALSE)=0,"",VLOOKUP(A350,Resources!A:B,2,FALSE))</f>
        <v/>
      </c>
    </row>
    <row r="351" spans="1:22" x14ac:dyDescent="0.2">
      <c r="A351" s="12" t="s">
        <v>260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>
        <v>20000</v>
      </c>
      <c r="Q351" s="14"/>
      <c r="R351" s="14"/>
      <c r="S351" s="14"/>
      <c r="T351" s="14"/>
      <c r="U351" s="14">
        <v>20000</v>
      </c>
      <c r="V351" t="str">
        <f>IF(VLOOKUP(A351,Resources!A:B,2,FALSE)=0,"",VLOOKUP(A351,Resources!A:B,2,FALSE))</f>
        <v>https://www.sourcewatch.org/index.php/Civitas_Institute</v>
      </c>
    </row>
    <row r="352" spans="1:22" x14ac:dyDescent="0.2">
      <c r="A352" s="12" t="s">
        <v>301</v>
      </c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>
        <v>18500</v>
      </c>
      <c r="R352" s="14"/>
      <c r="S352" s="14"/>
      <c r="T352" s="14"/>
      <c r="U352" s="14">
        <v>18500</v>
      </c>
      <c r="V352" t="str">
        <f>IF(VLOOKUP(A352,Resources!A:B,2,FALSE)=0,"",VLOOKUP(A352,Resources!A:B,2,FALSE))</f>
        <v/>
      </c>
    </row>
    <row r="353" spans="1:22" x14ac:dyDescent="0.2">
      <c r="A353" s="12" t="s">
        <v>94</v>
      </c>
      <c r="B353" s="14"/>
      <c r="C353" s="14"/>
      <c r="D353" s="14"/>
      <c r="E353" s="14">
        <v>17894</v>
      </c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>
        <v>17894</v>
      </c>
      <c r="V353" t="str">
        <f>IF(VLOOKUP(A353,Resources!A:B,2,FALSE)=0,"",VLOOKUP(A353,Resources!A:B,2,FALSE))</f>
        <v>http://www.sourcewatch.org/index.php/Atlas_Economic_Research_Foundation</v>
      </c>
    </row>
    <row r="354" spans="1:22" x14ac:dyDescent="0.2">
      <c r="A354" s="12" t="s">
        <v>244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>
        <v>17500</v>
      </c>
      <c r="P354" s="14"/>
      <c r="Q354" s="14"/>
      <c r="R354" s="14"/>
      <c r="S354" s="14"/>
      <c r="T354" s="14"/>
      <c r="U354" s="14">
        <v>17500</v>
      </c>
      <c r="V354" t="str">
        <f>IF(VLOOKUP(A354,Resources!A:B,2,FALSE)=0,"",VLOOKUP(A354,Resources!A:B,2,FALSE))</f>
        <v>https://www.sourcewatch.org/index.php/Arkansas_Policy_Foundation</v>
      </c>
    </row>
    <row r="355" spans="1:22" x14ac:dyDescent="0.2">
      <c r="A355" s="12" t="s">
        <v>245</v>
      </c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>
        <v>15000</v>
      </c>
      <c r="S355" s="14"/>
      <c r="T355" s="14"/>
      <c r="U355" s="14">
        <v>15000</v>
      </c>
      <c r="V355" t="str">
        <f>IF(VLOOKUP(A355,Resources!A:B,2,FALSE)=0,"",VLOOKUP(A355,Resources!A:B,2,FALSE))</f>
        <v>https://www.sourcewatch.org/index.php/Association_of_American_Educators</v>
      </c>
    </row>
    <row r="356" spans="1:22" x14ac:dyDescent="0.2">
      <c r="A356" s="12" t="s">
        <v>333</v>
      </c>
      <c r="B356" s="14"/>
      <c r="C356" s="14"/>
      <c r="D356" s="14"/>
      <c r="E356" s="14"/>
      <c r="F356" s="14"/>
      <c r="G356" s="14"/>
      <c r="H356" s="14">
        <v>12500</v>
      </c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12500</v>
      </c>
      <c r="V356" t="str">
        <f>IF(VLOOKUP(A356,Resources!A:B,2,FALSE)=0,"",VLOOKUP(A356,Resources!A:B,2,FALSE))</f>
        <v>http://www.sourcewatch.org/index.php/Solutions_for_New_Jersey,_Inc.</v>
      </c>
    </row>
    <row r="357" spans="1:22" x14ac:dyDescent="0.2">
      <c r="A357" s="12" t="s">
        <v>279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>
        <v>12500</v>
      </c>
      <c r="N357" s="14"/>
      <c r="O357" s="14"/>
      <c r="P357" s="14"/>
      <c r="Q357" s="14"/>
      <c r="R357" s="14"/>
      <c r="S357" s="14"/>
      <c r="T357" s="14"/>
      <c r="U357" s="14">
        <v>12500</v>
      </c>
      <c r="V357" t="str">
        <f>IF(VLOOKUP(A357,Resources!A:B,2,FALSE)=0,"",VLOOKUP(A357,Resources!A:B,2,FALSE))</f>
        <v>https://www.sourcewatch.org/index.php/Grassroot_Institute_of_Hawaii</v>
      </c>
    </row>
    <row r="358" spans="1:22" x14ac:dyDescent="0.2">
      <c r="A358" s="12" t="s">
        <v>237</v>
      </c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>
        <v>12000</v>
      </c>
      <c r="O358" s="14"/>
      <c r="P358" s="14"/>
      <c r="Q358" s="14"/>
      <c r="R358" s="14"/>
      <c r="S358" s="14"/>
      <c r="T358" s="14"/>
      <c r="U358" s="14">
        <v>12000</v>
      </c>
      <c r="V358" t="str">
        <f>IF(VLOOKUP(A358,Resources!A:B,2,FALSE)=0,"",VLOOKUP(A358,Resources!A:B,2,FALSE))</f>
        <v>https://www.sourcewatch.org/index.php/America's_Future_Foundation</v>
      </c>
    </row>
    <row r="359" spans="1:22" x14ac:dyDescent="0.2">
      <c r="A359" s="12" t="s">
        <v>9</v>
      </c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>
        <v>10000</v>
      </c>
      <c r="P359" s="14"/>
      <c r="Q359" s="14"/>
      <c r="R359" s="14"/>
      <c r="S359" s="14"/>
      <c r="T359" s="14"/>
      <c r="U359" s="14">
        <v>10000</v>
      </c>
      <c r="V359" t="str">
        <f>IF(VLOOKUP(A359,Resources!A:B,2,FALSE)=0,"",VLOOKUP(A359,Resources!A:B,2,FALSE))</f>
        <v>http://desmogblog.com/who-donors-trust</v>
      </c>
    </row>
    <row r="360" spans="1:22" x14ac:dyDescent="0.2">
      <c r="A360" s="12" t="s">
        <v>302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>
        <v>8500</v>
      </c>
      <c r="P360" s="14"/>
      <c r="Q360" s="14"/>
      <c r="R360" s="14"/>
      <c r="S360" s="14"/>
      <c r="T360" s="14"/>
      <c r="U360" s="14">
        <v>8500</v>
      </c>
      <c r="V360" t="str">
        <f>IF(VLOOKUP(A360,Resources!A:B,2,FALSE)=0,"",VLOOKUP(A360,Resources!A:B,2,FALSE))</f>
        <v>https://www.sourcewatch.org/index.php/MacIver_Institute</v>
      </c>
    </row>
    <row r="361" spans="1:22" x14ac:dyDescent="0.2">
      <c r="A361" s="12" t="s">
        <v>339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>
        <v>8000</v>
      </c>
      <c r="R361" s="14"/>
      <c r="S361" s="14"/>
      <c r="T361" s="14"/>
      <c r="U361" s="14">
        <v>8000</v>
      </c>
      <c r="V361" t="str">
        <f>IF(VLOOKUP(A361,Resources!A:B,2,FALSE)=0,"",VLOOKUP(A361,Resources!A:B,2,FALSE))</f>
        <v/>
      </c>
    </row>
    <row r="362" spans="1:22" x14ac:dyDescent="0.2">
      <c r="A362" s="12" t="s">
        <v>345</v>
      </c>
      <c r="B362" s="14"/>
      <c r="C362" s="14"/>
      <c r="D362" s="14"/>
      <c r="E362" s="14"/>
      <c r="F362" s="14"/>
      <c r="G362" s="14"/>
      <c r="H362" s="14"/>
      <c r="I362" s="14">
        <v>7985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>
        <v>7985</v>
      </c>
      <c r="V362" t="str">
        <f>IF(VLOOKUP(A362,Resources!A:B,2,FALSE)=0,"",VLOOKUP(A362,Resources!A:B,2,FALSE))</f>
        <v/>
      </c>
    </row>
    <row r="363" spans="1:22" x14ac:dyDescent="0.2">
      <c r="A363" s="12" t="s">
        <v>243</v>
      </c>
      <c r="B363" s="14"/>
      <c r="C363" s="14"/>
      <c r="D363" s="14"/>
      <c r="E363" s="14"/>
      <c r="F363" s="14"/>
      <c r="G363" s="14">
        <v>6100</v>
      </c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>
        <v>6100</v>
      </c>
      <c r="V363" t="str">
        <f>IF(VLOOKUP(A363,Resources!A:B,2,FALSE)=0,"",VLOOKUP(A363,Resources!A:B,2,FALSE))</f>
        <v>http://www.sourcewatch.org/index.php/Arkansas_Policy_Foundation</v>
      </c>
    </row>
    <row r="364" spans="1:22" x14ac:dyDescent="0.2">
      <c r="A364" s="12" t="s">
        <v>53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>
        <v>6000</v>
      </c>
      <c r="P364" s="14"/>
      <c r="Q364" s="14"/>
      <c r="R364" s="14"/>
      <c r="S364" s="14"/>
      <c r="T364" s="14"/>
      <c r="U364" s="14">
        <v>6000</v>
      </c>
      <c r="V364" t="str">
        <f>IF(VLOOKUP(A364,Resources!A:B,2,FALSE)=0,"",VLOOKUP(A364,Resources!A:B,2,FALSE))</f>
        <v>http://www.sourcewatch.org/index.php/Institute_for_Humane_Studies</v>
      </c>
    </row>
    <row r="365" spans="1:22" x14ac:dyDescent="0.2">
      <c r="A365" s="12" t="s">
        <v>233</v>
      </c>
      <c r="B365" s="14"/>
      <c r="C365" s="14"/>
      <c r="D365" s="14"/>
      <c r="E365" s="14">
        <v>5846</v>
      </c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>
        <v>5846</v>
      </c>
      <c r="V365" t="str">
        <f>IF(VLOOKUP(A365,Resources!A:B,2,FALSE)=0,"",VLOOKUP(A365,Resources!A:B,2,FALSE))</f>
        <v/>
      </c>
    </row>
    <row r="366" spans="1:22" x14ac:dyDescent="0.2">
      <c r="A366" s="12" t="s">
        <v>282</v>
      </c>
      <c r="B366" s="14">
        <v>2500</v>
      </c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>
        <v>2500</v>
      </c>
      <c r="V366" t="str">
        <f>IF(VLOOKUP(A366,Resources!A:B,2,FALSE)=0,"",VLOOKUP(A366,Resources!A:B,2,FALSE))</f>
        <v>http://www.sourcewatch.org/index.php/Great_Plains_Public_Policy_Institute</v>
      </c>
    </row>
    <row r="367" spans="1:22" x14ac:dyDescent="0.2">
      <c r="A367" s="12" t="s">
        <v>270</v>
      </c>
      <c r="B367" s="14"/>
      <c r="C367" s="14">
        <v>2500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>
        <v>2500</v>
      </c>
      <c r="V367" t="str">
        <f>IF(VLOOKUP(A367,Resources!A:B,2,FALSE)=0,"",VLOOKUP(A367,Resources!A:B,2,FALSE))</f>
        <v>https://www.sourcewatch.org/index.php/Kansas_Policy_Institute</v>
      </c>
    </row>
    <row r="368" spans="1:22" x14ac:dyDescent="0.2">
      <c r="A368" s="12" t="s">
        <v>276</v>
      </c>
      <c r="B368" s="14"/>
      <c r="C368" s="14"/>
      <c r="D368" s="14"/>
      <c r="E368" s="14">
        <v>1182</v>
      </c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>
        <v>1182</v>
      </c>
      <c r="V368" t="str">
        <f>IF(VLOOKUP(A368,Resources!A:B,2,FALSE)=0,"",VLOOKUP(A368,Resources!A:B,2,FALSE))</f>
        <v/>
      </c>
    </row>
    <row r="369" spans="1:22" x14ac:dyDescent="0.2">
      <c r="A369" s="12" t="s">
        <v>300</v>
      </c>
      <c r="B369" s="14"/>
      <c r="C369" s="14"/>
      <c r="D369" s="14"/>
      <c r="E369" s="14">
        <v>411</v>
      </c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>
        <v>411</v>
      </c>
      <c r="V369" t="str">
        <f>IF(VLOOKUP(A369,Resources!A:B,2,FALSE)=0,"",VLOOKUP(A369,Resources!A:B,2,FALSE))</f>
        <v>https://www.sourcewatch.org/index.php/Louisiana_Family_Forum</v>
      </c>
    </row>
    <row r="370" spans="1:22" x14ac:dyDescent="0.2">
      <c r="A370" s="12" t="s">
        <v>7</v>
      </c>
      <c r="B370" s="14">
        <v>103950</v>
      </c>
      <c r="C370" s="14">
        <v>122500</v>
      </c>
      <c r="D370" s="14">
        <v>216000</v>
      </c>
      <c r="E370" s="14">
        <v>865209</v>
      </c>
      <c r="F370" s="14">
        <v>1259982</v>
      </c>
      <c r="G370" s="14">
        <v>992100</v>
      </c>
      <c r="H370" s="14">
        <v>702250</v>
      </c>
      <c r="I370" s="14">
        <v>1140160</v>
      </c>
      <c r="J370" s="14">
        <v>2325825</v>
      </c>
      <c r="K370" s="14">
        <v>1333708</v>
      </c>
      <c r="L370" s="14">
        <v>1108000</v>
      </c>
      <c r="M370" s="14">
        <v>1196150</v>
      </c>
      <c r="N370" s="14">
        <v>916026</v>
      </c>
      <c r="O370" s="14">
        <v>1251650</v>
      </c>
      <c r="P370" s="14">
        <v>985600</v>
      </c>
      <c r="Q370" s="14">
        <v>2542668</v>
      </c>
      <c r="R370" s="14">
        <v>2386400</v>
      </c>
      <c r="S370" s="14">
        <v>4230900</v>
      </c>
      <c r="T370" s="14">
        <v>6240824</v>
      </c>
      <c r="U370" s="14">
        <v>29919902</v>
      </c>
    </row>
  </sheetData>
  <mergeCells count="1">
    <mergeCell ref="B3:D3"/>
  </mergeCells>
  <hyperlinks>
    <hyperlink ref="A2" r:id="rId3" xr:uid="{3D1E4CEE-9276-E44D-BFAA-E29801A750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53"/>
  <sheetViews>
    <sheetView workbookViewId="0">
      <pane ySplit="1" topLeftCell="A2" activePane="bottomLeft" state="frozen"/>
      <selection pane="bottomLeft" sqref="A1:I1048576"/>
    </sheetView>
  </sheetViews>
  <sheetFormatPr baseColWidth="10" defaultColWidth="11.1640625" defaultRowHeight="15" customHeight="1" x14ac:dyDescent="0.2"/>
  <cols>
    <col min="1" max="3" width="26.1640625" customWidth="1"/>
    <col min="4" max="4" width="19.5" customWidth="1"/>
    <col min="5" max="5" width="48.33203125" customWidth="1"/>
    <col min="6" max="6" width="13" customWidth="1"/>
    <col min="7" max="7" width="10.1640625" customWidth="1"/>
    <col min="8" max="8" width="14" customWidth="1"/>
    <col min="9" max="11" width="26.1640625" customWidth="1"/>
    <col min="12" max="17" width="10.5" customWidth="1"/>
    <col min="18" max="26" width="11.1640625" customWidth="1"/>
  </cols>
  <sheetData>
    <row r="1" spans="1:9" ht="15.75" customHeight="1" x14ac:dyDescent="0.2">
      <c r="A1" s="3" t="s">
        <v>355</v>
      </c>
      <c r="B1" s="3" t="s">
        <v>356</v>
      </c>
      <c r="C1" s="3" t="s">
        <v>357</v>
      </c>
      <c r="D1" s="3" t="s">
        <v>6</v>
      </c>
      <c r="E1" s="3" t="s">
        <v>232</v>
      </c>
      <c r="F1" s="7" t="s">
        <v>358</v>
      </c>
      <c r="G1" s="3" t="s">
        <v>5</v>
      </c>
      <c r="H1" s="3" t="s">
        <v>359</v>
      </c>
      <c r="I1" s="3" t="s">
        <v>360</v>
      </c>
    </row>
    <row r="2" spans="1:9" ht="15.75" customHeight="1" x14ac:dyDescent="0.2">
      <c r="A2" s="4">
        <v>990</v>
      </c>
      <c r="B2" s="4" t="str">
        <f t="shared" ref="B2:B256" si="0">D2&amp;"_"&amp;E2&amp;G2&amp;F2</f>
        <v>A P Kirby Jr Foundation_State Policy Network202250000</v>
      </c>
      <c r="C2" s="4" t="str">
        <f ca="1">IFERROR(__xludf.DUMMYFUNCTION("ARRAY_CONSTRAIN(ARRAYFORMULA(SINGLE(TEXTJOIN(""_"",TRUE,D2,G2))), 1, 1)"),"A P Kirby Jr Foundation_2022")</f>
        <v>A P Kirby Jr Foundation_2022</v>
      </c>
      <c r="D2" s="8" t="s">
        <v>23</v>
      </c>
      <c r="E2" s="8" t="s">
        <v>46</v>
      </c>
      <c r="F2" s="6">
        <v>50000</v>
      </c>
      <c r="G2" s="4">
        <v>2022</v>
      </c>
      <c r="H2" s="4" t="s">
        <v>361</v>
      </c>
    </row>
    <row r="3" spans="1:9" ht="15.75" customHeight="1" x14ac:dyDescent="0.2">
      <c r="A3" s="4">
        <v>990</v>
      </c>
      <c r="B3" s="4" t="str">
        <f t="shared" si="0"/>
        <v>A P Kirby Jr Foundation_State Policy Network201925000</v>
      </c>
      <c r="C3" s="4" t="str">
        <f ca="1">IFERROR(__xludf.DUMMYFUNCTION("ARRAY_CONSTRAIN(ARRAYFORMULA(SINGLE(TEXTJOIN(""_"",TRUE,D3,G3))), 1, 1)"),"A P Kirby Jr Foundation_2019")</f>
        <v>A P Kirby Jr Foundation_2019</v>
      </c>
      <c r="D3" s="8" t="s">
        <v>23</v>
      </c>
      <c r="E3" s="8" t="s">
        <v>46</v>
      </c>
      <c r="F3" s="6">
        <v>25000</v>
      </c>
      <c r="G3" s="4">
        <v>2019</v>
      </c>
      <c r="H3" s="4" t="s">
        <v>361</v>
      </c>
    </row>
    <row r="4" spans="1:9" ht="15.75" customHeight="1" x14ac:dyDescent="0.2">
      <c r="A4" s="4">
        <v>990</v>
      </c>
      <c r="B4" s="4" t="str">
        <f t="shared" si="0"/>
        <v>A P Kirby Jr Foundation_State Policy Network201825000</v>
      </c>
      <c r="C4" s="4" t="str">
        <f ca="1">IFERROR(__xludf.DUMMYFUNCTION("ARRAY_CONSTRAIN(ARRAYFORMULA(SINGLE(TEXTJOIN(""_"",TRUE,D4,G4))), 1, 1)"),"A P Kirby Jr Foundation_2018")</f>
        <v>A P Kirby Jr Foundation_2018</v>
      </c>
      <c r="D4" s="8" t="s">
        <v>23</v>
      </c>
      <c r="E4" s="8" t="s">
        <v>46</v>
      </c>
      <c r="F4" s="6">
        <v>25000</v>
      </c>
      <c r="G4" s="4">
        <v>2018</v>
      </c>
      <c r="H4" s="4" t="s">
        <v>361</v>
      </c>
    </row>
    <row r="5" spans="1:9" ht="15.75" customHeight="1" x14ac:dyDescent="0.2">
      <c r="A5" s="4">
        <v>990</v>
      </c>
      <c r="B5" s="4" t="str">
        <f t="shared" si="0"/>
        <v>A P Kirby Jr Foundation_State Policy Network201750000</v>
      </c>
      <c r="C5" s="4" t="str">
        <f ca="1">IFERROR(__xludf.DUMMYFUNCTION("ARRAY_CONSTRAIN(ARRAYFORMULA(SINGLE(TEXTJOIN(""_"",TRUE,D5,G5))), 1, 1)"),"A P Kirby Jr Foundation_2017")</f>
        <v>A P Kirby Jr Foundation_2017</v>
      </c>
      <c r="D5" s="8" t="s">
        <v>23</v>
      </c>
      <c r="E5" s="8" t="s">
        <v>46</v>
      </c>
      <c r="F5" s="6">
        <v>50000</v>
      </c>
      <c r="G5" s="4">
        <v>2017</v>
      </c>
      <c r="H5" s="4" t="s">
        <v>361</v>
      </c>
    </row>
    <row r="6" spans="1:9" ht="15.75" customHeight="1" x14ac:dyDescent="0.2">
      <c r="A6" s="4">
        <v>990</v>
      </c>
      <c r="B6" s="4" t="str">
        <f t="shared" si="0"/>
        <v>A P Kirby Jr Foundation_State Policy Network201650000</v>
      </c>
      <c r="C6" s="4" t="str">
        <f ca="1">IFERROR(__xludf.DUMMYFUNCTION("ARRAY_CONSTRAIN(ARRAYFORMULA(SINGLE(TEXTJOIN(""_"",TRUE,D6,G6))), 1, 1)"),"A P Kirby Jr Foundation_2016")</f>
        <v>A P Kirby Jr Foundation_2016</v>
      </c>
      <c r="D6" s="8" t="s">
        <v>23</v>
      </c>
      <c r="E6" s="8" t="s">
        <v>46</v>
      </c>
      <c r="F6" s="6">
        <v>50000</v>
      </c>
      <c r="G6" s="4">
        <v>2016</v>
      </c>
      <c r="H6" s="4" t="s">
        <v>361</v>
      </c>
    </row>
    <row r="7" spans="1:9" ht="15.75" customHeight="1" x14ac:dyDescent="0.2">
      <c r="A7" s="4">
        <v>990</v>
      </c>
      <c r="B7" s="4" t="str">
        <f t="shared" si="0"/>
        <v>A P Kirby Jr Foundation_State Policy Network201550000</v>
      </c>
      <c r="C7" s="4" t="str">
        <f ca="1">IFERROR(__xludf.DUMMYFUNCTION("ARRAY_CONSTRAIN(ARRAYFORMULA(SINGLE(TEXTJOIN(""_"",TRUE,D7,G7))), 1, 1)"),"A P Kirby Jr Foundation_2015")</f>
        <v>A P Kirby Jr Foundation_2015</v>
      </c>
      <c r="D7" s="8" t="s">
        <v>23</v>
      </c>
      <c r="E7" s="8" t="s">
        <v>46</v>
      </c>
      <c r="F7" s="6">
        <v>50000</v>
      </c>
      <c r="G7" s="4">
        <v>2015</v>
      </c>
      <c r="H7" s="4" t="s">
        <v>361</v>
      </c>
    </row>
    <row r="8" spans="1:9" ht="15.75" customHeight="1" x14ac:dyDescent="0.2">
      <c r="A8" s="4">
        <v>990</v>
      </c>
      <c r="B8" s="4" t="str">
        <f t="shared" si="0"/>
        <v>A P Kirby Jr Foundation_State Policy Network2014115000</v>
      </c>
      <c r="C8" s="4" t="str">
        <f ca="1">IFERROR(__xludf.DUMMYFUNCTION("ARRAY_CONSTRAIN(ARRAYFORMULA(SINGLE(TEXTJOIN(""_"",TRUE,D8,G8))), 1, 1)"),"A P Kirby Jr Foundation_2014")</f>
        <v>A P Kirby Jr Foundation_2014</v>
      </c>
      <c r="D8" s="8" t="s">
        <v>23</v>
      </c>
      <c r="E8" s="8" t="s">
        <v>46</v>
      </c>
      <c r="F8" s="6">
        <v>115000</v>
      </c>
      <c r="G8" s="4">
        <v>2014</v>
      </c>
      <c r="H8" s="4" t="s">
        <v>361</v>
      </c>
    </row>
    <row r="9" spans="1:9" ht="15.75" customHeight="1" x14ac:dyDescent="0.2">
      <c r="A9" s="4">
        <v>990</v>
      </c>
      <c r="B9" s="4" t="str">
        <f t="shared" si="0"/>
        <v>A P Kirby Jr Foundation_State Policy Network2013125000</v>
      </c>
      <c r="C9" s="4" t="str">
        <f ca="1">IFERROR(__xludf.DUMMYFUNCTION("ARRAY_CONSTRAIN(ARRAYFORMULA(SINGLE(TEXTJOIN(""_"",TRUE,D9,G9))), 1, 1)"),"A P Kirby Jr Foundation_2013")</f>
        <v>A P Kirby Jr Foundation_2013</v>
      </c>
      <c r="D9" s="8" t="s">
        <v>23</v>
      </c>
      <c r="E9" s="8" t="s">
        <v>46</v>
      </c>
      <c r="F9" s="6">
        <v>125000</v>
      </c>
      <c r="G9" s="4">
        <v>2013</v>
      </c>
      <c r="H9" s="4" t="s">
        <v>361</v>
      </c>
    </row>
    <row r="10" spans="1:9" ht="15.75" customHeight="1" x14ac:dyDescent="0.2">
      <c r="A10" s="4">
        <v>990</v>
      </c>
      <c r="B10" s="4" t="str">
        <f t="shared" si="0"/>
        <v>A P Kirby Jr Foundation_State Policy Network201215000</v>
      </c>
      <c r="C10" s="4" t="str">
        <f ca="1">IFERROR(__xludf.DUMMYFUNCTION("ARRAY_CONSTRAIN(ARRAYFORMULA(SINGLE(TEXTJOIN(""_"",TRUE,D10,G10))), 1, 1)"),"A P Kirby Jr Foundation_2012")</f>
        <v>A P Kirby Jr Foundation_2012</v>
      </c>
      <c r="D10" s="8" t="s">
        <v>23</v>
      </c>
      <c r="E10" s="8" t="s">
        <v>46</v>
      </c>
      <c r="F10" s="6">
        <v>15000</v>
      </c>
      <c r="G10" s="4">
        <v>2012</v>
      </c>
      <c r="H10" s="4" t="s">
        <v>361</v>
      </c>
    </row>
    <row r="11" spans="1:9" ht="15.75" customHeight="1" x14ac:dyDescent="0.2">
      <c r="A11" s="4">
        <v>990</v>
      </c>
      <c r="B11" s="4" t="str">
        <f t="shared" si="0"/>
        <v>A P Kirby Jr Foundation_State Policy Network20115000</v>
      </c>
      <c r="C11" s="4" t="str">
        <f ca="1">IFERROR(__xludf.DUMMYFUNCTION("ARRAY_CONSTRAIN(ARRAYFORMULA(SINGLE(TEXTJOIN(""_"",TRUE,D11,G11))), 1, 1)"),"A P Kirby Jr Foundation_2011")</f>
        <v>A P Kirby Jr Foundation_2011</v>
      </c>
      <c r="D11" s="8" t="s">
        <v>23</v>
      </c>
      <c r="E11" s="8" t="s">
        <v>46</v>
      </c>
      <c r="F11" s="6">
        <v>5000</v>
      </c>
      <c r="G11" s="4">
        <v>2011</v>
      </c>
      <c r="H11" s="4" t="s">
        <v>361</v>
      </c>
    </row>
    <row r="12" spans="1:9" ht="15.75" customHeight="1" x14ac:dyDescent="0.2">
      <c r="A12" s="4">
        <v>990</v>
      </c>
      <c r="B12" s="4" t="str">
        <f t="shared" si="0"/>
        <v>A P Kirby Jr Foundation_State Policy Network20105000</v>
      </c>
      <c r="C12" s="4" t="str">
        <f ca="1">IFERROR(__xludf.DUMMYFUNCTION("ARRAY_CONSTRAIN(ARRAYFORMULA(SINGLE(TEXTJOIN(""_"",TRUE,D12,G12))), 1, 1)"),"A P Kirby Jr Foundation_2010")</f>
        <v>A P Kirby Jr Foundation_2010</v>
      </c>
      <c r="D12" s="8" t="s">
        <v>23</v>
      </c>
      <c r="E12" s="8" t="s">
        <v>46</v>
      </c>
      <c r="F12" s="6">
        <v>5000</v>
      </c>
      <c r="G12" s="4">
        <v>2010</v>
      </c>
      <c r="H12" s="4" t="s">
        <v>361</v>
      </c>
    </row>
    <row r="13" spans="1:9" ht="15.75" customHeight="1" x14ac:dyDescent="0.2">
      <c r="A13" s="4">
        <v>990</v>
      </c>
      <c r="B13" s="4" t="str">
        <f t="shared" si="0"/>
        <v>A P Kirby Jr Foundation_State Policy Network20092500</v>
      </c>
      <c r="C13" s="4" t="str">
        <f ca="1">IFERROR(__xludf.DUMMYFUNCTION("ARRAY_CONSTRAIN(ARRAYFORMULA(SINGLE(TEXTJOIN(""_"",TRUE,D13,G13))), 1, 1)"),"A P Kirby Jr Foundation_2009")</f>
        <v>A P Kirby Jr Foundation_2009</v>
      </c>
      <c r="D13" s="8" t="s">
        <v>23</v>
      </c>
      <c r="E13" s="8" t="s">
        <v>46</v>
      </c>
      <c r="F13" s="6">
        <v>2500</v>
      </c>
      <c r="G13" s="4">
        <v>2009</v>
      </c>
      <c r="H13" s="4" t="s">
        <v>361</v>
      </c>
    </row>
    <row r="14" spans="1:9" ht="15.75" customHeight="1" x14ac:dyDescent="0.2">
      <c r="A14" s="4">
        <v>990</v>
      </c>
      <c r="B14" s="4" t="str">
        <f t="shared" si="0"/>
        <v>A P Kirby Jr Foundation_State Policy Network20085000</v>
      </c>
      <c r="C14" s="4" t="str">
        <f ca="1">IFERROR(__xludf.DUMMYFUNCTION("ARRAY_CONSTRAIN(ARRAYFORMULA(SINGLE(TEXTJOIN(""_"",TRUE,D14,G14))), 1, 1)"),"A P Kirby Jr Foundation_2008")</f>
        <v>A P Kirby Jr Foundation_2008</v>
      </c>
      <c r="D14" s="8" t="s">
        <v>23</v>
      </c>
      <c r="E14" s="8" t="s">
        <v>46</v>
      </c>
      <c r="F14" s="6">
        <v>5000</v>
      </c>
      <c r="G14" s="4">
        <v>2008</v>
      </c>
      <c r="H14" s="4" t="s">
        <v>361</v>
      </c>
    </row>
    <row r="15" spans="1:9" ht="15.75" customHeight="1" x14ac:dyDescent="0.2">
      <c r="A15" s="4">
        <v>990</v>
      </c>
      <c r="B15" s="4" t="str">
        <f t="shared" si="0"/>
        <v>A P Kirby Jr Foundation_State Policy Network20075000</v>
      </c>
      <c r="C15" s="4" t="str">
        <f ca="1">IFERROR(__xludf.DUMMYFUNCTION("ARRAY_CONSTRAIN(ARRAYFORMULA(SINGLE(TEXTJOIN(""_"",TRUE,D15,G15))), 1, 1)"),"A P Kirby Jr Foundation_2007")</f>
        <v>A P Kirby Jr Foundation_2007</v>
      </c>
      <c r="D15" s="8" t="s">
        <v>23</v>
      </c>
      <c r="E15" s="8" t="s">
        <v>46</v>
      </c>
      <c r="F15" s="6">
        <v>5000</v>
      </c>
      <c r="G15" s="4">
        <v>2007</v>
      </c>
      <c r="H15" s="4" t="s">
        <v>361</v>
      </c>
    </row>
    <row r="16" spans="1:9" ht="15.75" customHeight="1" x14ac:dyDescent="0.2">
      <c r="A16" s="4">
        <v>990</v>
      </c>
      <c r="B16" s="4" t="str">
        <f t="shared" si="0"/>
        <v>A P Kirby Jr Foundation_State Policy Network20065000</v>
      </c>
      <c r="C16" s="4" t="str">
        <f ca="1">IFERROR(__xludf.DUMMYFUNCTION("ARRAY_CONSTRAIN(ARRAYFORMULA(SINGLE(TEXTJOIN(""_"",TRUE,D16,G16))), 1, 1)"),"A P Kirby Jr Foundation_2006")</f>
        <v>A P Kirby Jr Foundation_2006</v>
      </c>
      <c r="D16" s="8" t="s">
        <v>23</v>
      </c>
      <c r="E16" s="8" t="s">
        <v>46</v>
      </c>
      <c r="F16" s="6">
        <v>5000</v>
      </c>
      <c r="G16" s="4">
        <v>2006</v>
      </c>
      <c r="H16" s="4" t="s">
        <v>361</v>
      </c>
    </row>
    <row r="17" spans="1:8" ht="15.75" customHeight="1" x14ac:dyDescent="0.2">
      <c r="A17" s="4">
        <v>990</v>
      </c>
      <c r="B17" s="4" t="str">
        <f t="shared" si="0"/>
        <v>A P Kirby Jr Foundation_State Policy Network20055000</v>
      </c>
      <c r="C17" s="4" t="str">
        <f ca="1">IFERROR(__xludf.DUMMYFUNCTION("ARRAY_CONSTRAIN(ARRAYFORMULA(SINGLE(TEXTJOIN(""_"",TRUE,D17,G17))), 1, 1)"),"A P Kirby Jr Foundation_2005")</f>
        <v>A P Kirby Jr Foundation_2005</v>
      </c>
      <c r="D17" s="8" t="s">
        <v>23</v>
      </c>
      <c r="E17" s="8" t="s">
        <v>46</v>
      </c>
      <c r="F17" s="6">
        <v>5000</v>
      </c>
      <c r="G17" s="4">
        <v>2005</v>
      </c>
      <c r="H17" s="4" t="s">
        <v>361</v>
      </c>
    </row>
    <row r="18" spans="1:8" ht="15.75" customHeight="1" x14ac:dyDescent="0.2">
      <c r="A18" s="4">
        <v>990</v>
      </c>
      <c r="B18" s="4" t="str">
        <f t="shared" si="0"/>
        <v>A P Kirby Jr Foundation_State Policy Network20042500</v>
      </c>
      <c r="C18" s="4" t="str">
        <f ca="1">IFERROR(__xludf.DUMMYFUNCTION("ARRAY_CONSTRAIN(ARRAYFORMULA(SINGLE(TEXTJOIN(""_"",TRUE,D18,G18))), 1, 1)"),"A P Kirby Jr Foundation_2004")</f>
        <v>A P Kirby Jr Foundation_2004</v>
      </c>
      <c r="D18" s="8" t="s">
        <v>23</v>
      </c>
      <c r="E18" s="8" t="s">
        <v>46</v>
      </c>
      <c r="F18" s="6">
        <v>2500</v>
      </c>
      <c r="G18" s="4">
        <v>2004</v>
      </c>
      <c r="H18" s="4" t="s">
        <v>361</v>
      </c>
    </row>
    <row r="19" spans="1:8" ht="15.75" customHeight="1" x14ac:dyDescent="0.2">
      <c r="A19" s="4">
        <v>990</v>
      </c>
      <c r="B19" s="4" t="str">
        <f t="shared" si="0"/>
        <v>A P Kirby Jr Foundation_State Policy Network20032500</v>
      </c>
      <c r="C19" s="4" t="str">
        <f ca="1">IFERROR(__xludf.DUMMYFUNCTION("ARRAY_CONSTRAIN(ARRAYFORMULA(SINGLE(TEXTJOIN(""_"",TRUE,D19,G19))), 1, 1)"),"A P Kirby Jr Foundation_2003")</f>
        <v>A P Kirby Jr Foundation_2003</v>
      </c>
      <c r="D19" s="8" t="s">
        <v>23</v>
      </c>
      <c r="E19" s="8" t="s">
        <v>46</v>
      </c>
      <c r="F19" s="6">
        <v>2500</v>
      </c>
      <c r="G19" s="4">
        <v>2003</v>
      </c>
      <c r="H19" s="4" t="s">
        <v>361</v>
      </c>
    </row>
    <row r="20" spans="1:8" ht="15.75" customHeight="1" x14ac:dyDescent="0.2">
      <c r="A20" s="4" t="s">
        <v>362</v>
      </c>
      <c r="B20" s="4" t="str">
        <f t="shared" si="0"/>
        <v>Acts 4 32 34_State Policy Network20222000</v>
      </c>
      <c r="C20" s="4" t="str">
        <f ca="1">IFERROR(__xludf.DUMMYFUNCTION("ARRAY_CONSTRAIN(ARRAYFORMULA(SINGLE(TEXTJOIN(""_"",TRUE,D20,G20))), 1, 1)"),"Acts 4 32 34_2022")</f>
        <v>Acts 4 32 34_2022</v>
      </c>
      <c r="D20" s="4" t="s">
        <v>139</v>
      </c>
      <c r="E20" s="8" t="s">
        <v>46</v>
      </c>
      <c r="F20" s="6">
        <v>2000</v>
      </c>
      <c r="G20" s="4">
        <v>2022</v>
      </c>
      <c r="H20" s="4" t="s">
        <v>361</v>
      </c>
    </row>
    <row r="21" spans="1:8" ht="15.75" customHeight="1" x14ac:dyDescent="0.2">
      <c r="A21" s="4" t="s">
        <v>363</v>
      </c>
      <c r="B21" s="4" t="str">
        <f t="shared" si="0"/>
        <v>Acts 4 32 34_State Policy Network20212000</v>
      </c>
      <c r="C21" s="4" t="str">
        <f ca="1">IFERROR(__xludf.DUMMYFUNCTION("ARRAY_CONSTRAIN(ARRAYFORMULA(SINGLE(TEXTJOIN(""_"",TRUE,D21,G21))), 1, 1)"),"Acts 4 32 34_2021")</f>
        <v>Acts 4 32 34_2021</v>
      </c>
      <c r="D21" s="4" t="s">
        <v>139</v>
      </c>
      <c r="E21" s="8" t="s">
        <v>46</v>
      </c>
      <c r="F21" s="6">
        <v>2000</v>
      </c>
      <c r="G21" s="4">
        <v>2021</v>
      </c>
      <c r="H21" s="4" t="s">
        <v>361</v>
      </c>
    </row>
    <row r="22" spans="1:8" ht="15.75" customHeight="1" x14ac:dyDescent="0.2">
      <c r="A22" s="4" t="s">
        <v>364</v>
      </c>
      <c r="B22" s="4" t="str">
        <f t="shared" si="0"/>
        <v>Acts 4 32 34_State Policy Network20202000</v>
      </c>
      <c r="C22" s="4" t="str">
        <f ca="1">IFERROR(__xludf.DUMMYFUNCTION("ARRAY_CONSTRAIN(ARRAYFORMULA(SINGLE(TEXTJOIN(""_"",TRUE,D22,G22))), 1, 1)"),"Acts 4 32 34_2020")</f>
        <v>Acts 4 32 34_2020</v>
      </c>
      <c r="D22" s="4" t="s">
        <v>139</v>
      </c>
      <c r="E22" s="8" t="s">
        <v>46</v>
      </c>
      <c r="F22" s="6">
        <v>2000</v>
      </c>
      <c r="G22" s="4">
        <v>2020</v>
      </c>
      <c r="H22" s="4" t="s">
        <v>361</v>
      </c>
    </row>
    <row r="23" spans="1:8" ht="15.75" customHeight="1" x14ac:dyDescent="0.2">
      <c r="A23" s="4" t="s">
        <v>365</v>
      </c>
      <c r="B23" s="4" t="str">
        <f t="shared" si="0"/>
        <v>Acts 4 32 34_State Policy Network20191000</v>
      </c>
      <c r="C23" s="4" t="str">
        <f ca="1">IFERROR(__xludf.DUMMYFUNCTION("ARRAY_CONSTRAIN(ARRAYFORMULA(SINGLE(TEXTJOIN(""_"",TRUE,D23,G23))), 1, 1)"),"Acts 4 32 34_2019")</f>
        <v>Acts 4 32 34_2019</v>
      </c>
      <c r="D23" s="4" t="s">
        <v>139</v>
      </c>
      <c r="E23" s="8" t="s">
        <v>46</v>
      </c>
      <c r="F23" s="6">
        <v>1000</v>
      </c>
      <c r="G23" s="4">
        <v>2019</v>
      </c>
      <c r="H23" s="4" t="s">
        <v>361</v>
      </c>
    </row>
    <row r="24" spans="1:8" ht="15.75" customHeight="1" x14ac:dyDescent="0.2">
      <c r="A24" s="4" t="s">
        <v>366</v>
      </c>
      <c r="B24" s="4" t="str">
        <f t="shared" si="0"/>
        <v>Acts 4 32 34_State Policy Network2018250</v>
      </c>
      <c r="C24" s="4" t="str">
        <f ca="1">IFERROR(__xludf.DUMMYFUNCTION("ARRAY_CONSTRAIN(ARRAYFORMULA(SINGLE(TEXTJOIN(""_"",TRUE,D24,G24))), 1, 1)"),"Acts 4 32 34_2018")</f>
        <v>Acts 4 32 34_2018</v>
      </c>
      <c r="D24" s="4" t="s">
        <v>139</v>
      </c>
      <c r="E24" s="8" t="s">
        <v>46</v>
      </c>
      <c r="F24" s="6">
        <v>250</v>
      </c>
      <c r="G24" s="4">
        <v>2018</v>
      </c>
      <c r="H24" s="4" t="s">
        <v>361</v>
      </c>
    </row>
    <row r="25" spans="1:8" ht="15.75" customHeight="1" x14ac:dyDescent="0.2">
      <c r="A25" s="4" t="s">
        <v>367</v>
      </c>
      <c r="B25" s="4" t="str">
        <f t="shared" si="0"/>
        <v>Acts 4 32 34_State Policy Network2017100</v>
      </c>
      <c r="C25" s="4" t="str">
        <f ca="1">IFERROR(__xludf.DUMMYFUNCTION("ARRAY_CONSTRAIN(ARRAYFORMULA(SINGLE(TEXTJOIN(""_"",TRUE,D25,G25))), 1, 1)"),"Acts 4 32 34_2017")</f>
        <v>Acts 4 32 34_2017</v>
      </c>
      <c r="D25" s="4" t="s">
        <v>139</v>
      </c>
      <c r="E25" s="8" t="s">
        <v>46</v>
      </c>
      <c r="F25" s="6">
        <v>100</v>
      </c>
      <c r="G25" s="4">
        <v>2017</v>
      </c>
      <c r="H25" s="4" t="s">
        <v>361</v>
      </c>
    </row>
    <row r="26" spans="1:8" ht="15.75" customHeight="1" x14ac:dyDescent="0.2">
      <c r="A26" s="4">
        <v>990</v>
      </c>
      <c r="B26" s="4" t="str">
        <f t="shared" si="0"/>
        <v>Adolph Coors Foundation_State Policy Network202280000</v>
      </c>
      <c r="C26" s="4" t="str">
        <f ca="1">IFERROR(__xludf.DUMMYFUNCTION("ARRAY_CONSTRAIN(ARRAYFORMULA(SINGLE(TEXTJOIN(""_"",TRUE,D26,G26))), 1, 1)"),"Adolph Coors Foundation_2022")</f>
        <v>Adolph Coors Foundation_2022</v>
      </c>
      <c r="D26" s="4" t="s">
        <v>21</v>
      </c>
      <c r="E26" s="8" t="s">
        <v>46</v>
      </c>
      <c r="F26" s="6">
        <v>80000</v>
      </c>
      <c r="G26" s="4">
        <v>2022</v>
      </c>
      <c r="H26" s="4" t="s">
        <v>361</v>
      </c>
    </row>
    <row r="27" spans="1:8" ht="15.75" customHeight="1" x14ac:dyDescent="0.2">
      <c r="A27" s="4">
        <v>990</v>
      </c>
      <c r="B27" s="4" t="str">
        <f t="shared" si="0"/>
        <v>Adolph Coors Foundation_State Policy Network202180000</v>
      </c>
      <c r="C27" s="4" t="str">
        <f ca="1">IFERROR(__xludf.DUMMYFUNCTION("ARRAY_CONSTRAIN(ARRAYFORMULA(SINGLE(TEXTJOIN(""_"",TRUE,D27,G27))), 1, 1)"),"Adolph Coors Foundation_2021")</f>
        <v>Adolph Coors Foundation_2021</v>
      </c>
      <c r="D27" s="4" t="s">
        <v>21</v>
      </c>
      <c r="E27" s="8" t="s">
        <v>46</v>
      </c>
      <c r="F27" s="6">
        <v>80000</v>
      </c>
      <c r="G27" s="4">
        <v>2021</v>
      </c>
      <c r="H27" s="4" t="s">
        <v>361</v>
      </c>
    </row>
    <row r="28" spans="1:8" ht="15.75" customHeight="1" x14ac:dyDescent="0.2">
      <c r="A28" s="4">
        <v>990</v>
      </c>
      <c r="B28" s="4" t="str">
        <f t="shared" si="0"/>
        <v>Adolph Coors Foundation_State Policy Network202080000</v>
      </c>
      <c r="C28" s="4" t="str">
        <f ca="1">IFERROR(__xludf.DUMMYFUNCTION("ARRAY_CONSTRAIN(ARRAYFORMULA(SINGLE(TEXTJOIN(""_"",TRUE,D28,G28))), 1, 1)"),"Adolph Coors Foundation_2020")</f>
        <v>Adolph Coors Foundation_2020</v>
      </c>
      <c r="D28" s="4" t="s">
        <v>21</v>
      </c>
      <c r="E28" s="8" t="s">
        <v>46</v>
      </c>
      <c r="F28" s="6">
        <v>80000</v>
      </c>
      <c r="G28" s="4">
        <v>2020</v>
      </c>
      <c r="H28" s="4" t="s">
        <v>361</v>
      </c>
    </row>
    <row r="29" spans="1:8" ht="15.75" customHeight="1" x14ac:dyDescent="0.2">
      <c r="A29" s="4">
        <v>990</v>
      </c>
      <c r="B29" s="4" t="str">
        <f t="shared" si="0"/>
        <v>Adolph Coors Foundation_State Policy Network201980000</v>
      </c>
      <c r="C29" s="4" t="str">
        <f ca="1">IFERROR(__xludf.DUMMYFUNCTION("ARRAY_CONSTRAIN(ARRAYFORMULA(SINGLE(TEXTJOIN(""_"",TRUE,D29,G29))), 1, 1)"),"Adolph Coors Foundation_2019")</f>
        <v>Adolph Coors Foundation_2019</v>
      </c>
      <c r="D29" s="4" t="s">
        <v>21</v>
      </c>
      <c r="E29" s="8" t="s">
        <v>46</v>
      </c>
      <c r="F29" s="6">
        <v>80000</v>
      </c>
      <c r="G29" s="4">
        <v>2019</v>
      </c>
      <c r="H29" s="4" t="s">
        <v>361</v>
      </c>
    </row>
    <row r="30" spans="1:8" ht="15.75" customHeight="1" x14ac:dyDescent="0.2">
      <c r="A30" s="4">
        <v>990</v>
      </c>
      <c r="B30" s="4" t="str">
        <f t="shared" si="0"/>
        <v>Adolph Coors Foundation_State Policy Network201880000</v>
      </c>
      <c r="C30" s="4" t="str">
        <f ca="1">IFERROR(__xludf.DUMMYFUNCTION("ARRAY_CONSTRAIN(ARRAYFORMULA(SINGLE(TEXTJOIN(""_"",TRUE,D30,G30))), 1, 1)"),"Adolph Coors Foundation_2018")</f>
        <v>Adolph Coors Foundation_2018</v>
      </c>
      <c r="D30" s="4" t="s">
        <v>21</v>
      </c>
      <c r="E30" s="8" t="s">
        <v>46</v>
      </c>
      <c r="F30" s="6">
        <v>80000</v>
      </c>
      <c r="G30" s="4">
        <v>2018</v>
      </c>
      <c r="H30" s="4" t="s">
        <v>361</v>
      </c>
    </row>
    <row r="31" spans="1:8" ht="15.75" customHeight="1" x14ac:dyDescent="0.2">
      <c r="A31" s="4">
        <v>990</v>
      </c>
      <c r="B31" s="4" t="str">
        <f t="shared" si="0"/>
        <v>Adolph Coors Foundation_State Policy Network201780000</v>
      </c>
      <c r="C31" s="4" t="str">
        <f ca="1">IFERROR(__xludf.DUMMYFUNCTION("ARRAY_CONSTRAIN(ARRAYFORMULA(SINGLE(TEXTJOIN(""_"",TRUE,D31,G31))), 1, 1)"),"Adolph Coors Foundation_2017")</f>
        <v>Adolph Coors Foundation_2017</v>
      </c>
      <c r="D31" s="4" t="s">
        <v>21</v>
      </c>
      <c r="E31" s="8" t="s">
        <v>46</v>
      </c>
      <c r="F31" s="6">
        <v>80000</v>
      </c>
      <c r="G31" s="4">
        <v>2017</v>
      </c>
      <c r="H31" s="4" t="s">
        <v>361</v>
      </c>
    </row>
    <row r="32" spans="1:8" ht="15.75" customHeight="1" x14ac:dyDescent="0.2">
      <c r="A32" s="4">
        <v>990</v>
      </c>
      <c r="B32" s="4" t="str">
        <f t="shared" si="0"/>
        <v>Adolph Coors Foundation_State Policy Network201680000</v>
      </c>
      <c r="C32" s="4" t="str">
        <f ca="1">IFERROR(__xludf.DUMMYFUNCTION("ARRAY_CONSTRAIN(ARRAYFORMULA(SINGLE(TEXTJOIN(""_"",TRUE,D32,G32))), 1, 1)"),"Adolph Coors Foundation_2016")</f>
        <v>Adolph Coors Foundation_2016</v>
      </c>
      <c r="D32" s="4" t="s">
        <v>21</v>
      </c>
      <c r="E32" s="8" t="s">
        <v>46</v>
      </c>
      <c r="F32" s="6">
        <v>80000</v>
      </c>
      <c r="G32" s="4">
        <v>2016</v>
      </c>
      <c r="H32" s="4" t="s">
        <v>361</v>
      </c>
    </row>
    <row r="33" spans="1:9" ht="15.75" customHeight="1" x14ac:dyDescent="0.2">
      <c r="A33" s="4">
        <v>990</v>
      </c>
      <c r="B33" s="4" t="str">
        <f t="shared" si="0"/>
        <v>Adolph Coors Foundation_State Policy Network201480000</v>
      </c>
      <c r="C33" s="4" t="str">
        <f ca="1">IFERROR(__xludf.DUMMYFUNCTION("ARRAY_CONSTRAIN(ARRAYFORMULA(SINGLE(TEXTJOIN(""_"",TRUE,D33,G33))), 1, 1)"),"Adolph Coors Foundation_2014")</f>
        <v>Adolph Coors Foundation_2014</v>
      </c>
      <c r="D33" s="4" t="s">
        <v>21</v>
      </c>
      <c r="E33" s="8" t="s">
        <v>46</v>
      </c>
      <c r="F33" s="6">
        <v>80000</v>
      </c>
      <c r="G33" s="4">
        <v>2014</v>
      </c>
      <c r="H33" s="4" t="s">
        <v>361</v>
      </c>
    </row>
    <row r="34" spans="1:9" ht="15.75" customHeight="1" x14ac:dyDescent="0.2">
      <c r="A34" s="4">
        <v>990</v>
      </c>
      <c r="B34" s="4" t="str">
        <f t="shared" si="0"/>
        <v>Adolph Coors Foundation_State Policy Network201250000</v>
      </c>
      <c r="C34" s="4" t="str">
        <f ca="1">IFERROR(__xludf.DUMMYFUNCTION("ARRAY_CONSTRAIN(ARRAYFORMULA(SINGLE(TEXTJOIN(""_"",TRUE,D34,G34))), 1, 1)"),"Adolph Coors Foundation_2012")</f>
        <v>Adolph Coors Foundation_2012</v>
      </c>
      <c r="D34" s="4" t="s">
        <v>21</v>
      </c>
      <c r="E34" s="8" t="s">
        <v>46</v>
      </c>
      <c r="F34" s="6">
        <v>50000</v>
      </c>
      <c r="G34" s="4">
        <v>2012</v>
      </c>
      <c r="H34" s="4" t="s">
        <v>361</v>
      </c>
    </row>
    <row r="35" spans="1:9" ht="15.75" customHeight="1" x14ac:dyDescent="0.2">
      <c r="A35" s="4" t="s">
        <v>368</v>
      </c>
      <c r="B35" s="4" t="str">
        <f t="shared" si="0"/>
        <v>Aequus Institute_State Policy Network20121000</v>
      </c>
      <c r="C35" s="4" t="str">
        <f ca="1">IFERROR(__xludf.DUMMYFUNCTION("ARRAY_CONSTRAIN(ARRAYFORMULA(SINGLE(TEXTJOIN(""_"",TRUE,D35,G35))), 1, 1)"),"Aequus Institute_2012")</f>
        <v>Aequus Institute_2012</v>
      </c>
      <c r="D35" s="4" t="s">
        <v>141</v>
      </c>
      <c r="E35" s="8" t="s">
        <v>46</v>
      </c>
      <c r="F35" s="6">
        <v>1000</v>
      </c>
      <c r="G35" s="4">
        <v>2012</v>
      </c>
      <c r="H35" s="4" t="s">
        <v>359</v>
      </c>
    </row>
    <row r="36" spans="1:9" ht="15.75" customHeight="1" x14ac:dyDescent="0.2">
      <c r="A36" s="4" t="s">
        <v>369</v>
      </c>
      <c r="B36" s="4" t="str">
        <f t="shared" si="0"/>
        <v>Aequus Institute_State Policy Network20101000</v>
      </c>
      <c r="C36" s="4" t="str">
        <f ca="1">IFERROR(__xludf.DUMMYFUNCTION("ARRAY_CONSTRAIN(ARRAYFORMULA(SINGLE(TEXTJOIN(""_"",TRUE,D36,G36))), 1, 1)"),"Aequus Institute_2010")</f>
        <v>Aequus Institute_2010</v>
      </c>
      <c r="D36" s="4" t="s">
        <v>141</v>
      </c>
      <c r="E36" s="8" t="s">
        <v>46</v>
      </c>
      <c r="F36" s="6">
        <v>1000</v>
      </c>
      <c r="G36" s="4">
        <v>2010</v>
      </c>
      <c r="H36" s="4" t="s">
        <v>359</v>
      </c>
    </row>
    <row r="37" spans="1:9" ht="15.75" customHeight="1" x14ac:dyDescent="0.2">
      <c r="A37" s="4" t="s">
        <v>368</v>
      </c>
      <c r="B37" s="4" t="str">
        <f t="shared" si="0"/>
        <v>Aequus Institute_State Policy Network20012500</v>
      </c>
      <c r="C37" s="4" t="str">
        <f ca="1">IFERROR(__xludf.DUMMYFUNCTION("ARRAY_CONSTRAIN(ARRAYFORMULA(SINGLE(TEXTJOIN(""_"",TRUE,D37,G37))), 1, 1)"),"Aequus Institute_2001")</f>
        <v>Aequus Institute_2001</v>
      </c>
      <c r="D37" s="4" t="s">
        <v>141</v>
      </c>
      <c r="E37" s="8" t="s">
        <v>46</v>
      </c>
      <c r="F37" s="6">
        <v>2500</v>
      </c>
      <c r="G37" s="4">
        <v>2001</v>
      </c>
      <c r="H37" s="4" t="s">
        <v>359</v>
      </c>
    </row>
    <row r="38" spans="1:9" ht="15.75" customHeight="1" x14ac:dyDescent="0.2">
      <c r="A38" s="4">
        <v>990</v>
      </c>
      <c r="B38" s="4" t="str">
        <f t="shared" si="0"/>
        <v>Aequus Institute_State Policy Network20002500</v>
      </c>
      <c r="C38" s="4" t="str">
        <f ca="1">IFERROR(__xludf.DUMMYFUNCTION("ARRAY_CONSTRAIN(ARRAYFORMULA(SINGLE(TEXTJOIN(""_"",TRUE,D38,G38))), 1, 1)"),"Aequus Institute_2000")</f>
        <v>Aequus Institute_2000</v>
      </c>
      <c r="D38" s="4" t="s">
        <v>141</v>
      </c>
      <c r="E38" s="8" t="s">
        <v>46</v>
      </c>
      <c r="F38" s="6">
        <v>2500</v>
      </c>
      <c r="G38" s="4">
        <v>2000</v>
      </c>
      <c r="H38" s="4" t="s">
        <v>361</v>
      </c>
    </row>
    <row r="39" spans="1:9" ht="15.75" customHeight="1" x14ac:dyDescent="0.2">
      <c r="A39" s="4" t="s">
        <v>370</v>
      </c>
      <c r="B39" s="4" t="str">
        <f t="shared" si="0"/>
        <v>Al &amp; Peggy Dematteis Family Foundation_State Policy Network2021500</v>
      </c>
      <c r="C39" s="4" t="str">
        <f ca="1">IFERROR(__xludf.DUMMYFUNCTION("ARRAY_CONSTRAIN(ARRAYFORMULA(SINGLE(TEXTJOIN(""_"",TRUE,D39,G39))), 1, 1)"),"Al &amp; Peggy Dematteis Family Foundation_2021")</f>
        <v>Al &amp; Peggy Dematteis Family Foundation_2021</v>
      </c>
      <c r="D39" s="4" t="s">
        <v>205</v>
      </c>
      <c r="E39" s="8" t="s">
        <v>46</v>
      </c>
      <c r="F39" s="6">
        <v>500</v>
      </c>
      <c r="G39" s="4">
        <v>2021</v>
      </c>
      <c r="H39" s="4" t="s">
        <v>361</v>
      </c>
    </row>
    <row r="40" spans="1:9" ht="15.75" customHeight="1" x14ac:dyDescent="0.2">
      <c r="A40" s="4">
        <v>990</v>
      </c>
      <c r="B40" s="4" t="str">
        <f t="shared" si="0"/>
        <v>Alpaugh Foundation_State Policy Network20221000</v>
      </c>
      <c r="C40" s="4" t="str">
        <f ca="1">IFERROR(__xludf.DUMMYFUNCTION("ARRAY_CONSTRAIN(ARRAYFORMULA(SINGLE(TEXTJOIN(""_"",TRUE,D40,G40))), 1, 1)"),"Alpaugh Foundation_2022")</f>
        <v>Alpaugh Foundation_2022</v>
      </c>
      <c r="D40" s="8" t="s">
        <v>146</v>
      </c>
      <c r="E40" s="8" t="s">
        <v>46</v>
      </c>
      <c r="F40" s="6">
        <v>1000</v>
      </c>
      <c r="G40" s="4">
        <v>2022</v>
      </c>
      <c r="H40" s="4" t="s">
        <v>361</v>
      </c>
    </row>
    <row r="41" spans="1:9" ht="15.75" customHeight="1" x14ac:dyDescent="0.2">
      <c r="A41" s="4">
        <v>990</v>
      </c>
      <c r="B41" s="4" t="str">
        <f t="shared" si="0"/>
        <v>Alpaugh Foundation_State Policy Network20211000</v>
      </c>
      <c r="C41" s="4" t="str">
        <f ca="1">IFERROR(__xludf.DUMMYFUNCTION("ARRAY_CONSTRAIN(ARRAYFORMULA(SINGLE(TEXTJOIN(""_"",TRUE,D41,G41))), 1, 1)"),"Alpaugh Foundation_2021")</f>
        <v>Alpaugh Foundation_2021</v>
      </c>
      <c r="D41" s="8" t="s">
        <v>146</v>
      </c>
      <c r="E41" s="8" t="s">
        <v>46</v>
      </c>
      <c r="F41" s="6">
        <v>1000</v>
      </c>
      <c r="G41" s="4">
        <v>2021</v>
      </c>
      <c r="H41" s="4" t="s">
        <v>361</v>
      </c>
    </row>
    <row r="42" spans="1:9" ht="15.75" customHeight="1" x14ac:dyDescent="0.2">
      <c r="A42" s="4">
        <v>990</v>
      </c>
      <c r="B42" s="4" t="str">
        <f t="shared" si="0"/>
        <v>Alpaugh Foundation_State Policy Network20201000</v>
      </c>
      <c r="C42" s="4" t="str">
        <f ca="1">IFERROR(__xludf.DUMMYFUNCTION("ARRAY_CONSTRAIN(ARRAYFORMULA(SINGLE(TEXTJOIN(""_"",TRUE,D42,G42))), 1, 1)"),"Alpaugh Foundation_2020")</f>
        <v>Alpaugh Foundation_2020</v>
      </c>
      <c r="D42" s="8" t="s">
        <v>146</v>
      </c>
      <c r="E42" s="8" t="s">
        <v>46</v>
      </c>
      <c r="F42" s="6">
        <v>1000</v>
      </c>
      <c r="G42" s="4">
        <v>2020</v>
      </c>
      <c r="H42" s="4" t="s">
        <v>361</v>
      </c>
    </row>
    <row r="43" spans="1:9" ht="15.75" customHeight="1" x14ac:dyDescent="0.2">
      <c r="A43" s="4">
        <v>990</v>
      </c>
      <c r="B43" s="4" t="str">
        <f t="shared" si="0"/>
        <v>Alpaugh Foundation_State Policy Network2019500</v>
      </c>
      <c r="C43" s="4" t="str">
        <f ca="1">IFERROR(__xludf.DUMMYFUNCTION("ARRAY_CONSTRAIN(ARRAYFORMULA(SINGLE(TEXTJOIN(""_"",TRUE,D43,G43))), 1, 1)"),"Alpaugh Foundation_2019")</f>
        <v>Alpaugh Foundation_2019</v>
      </c>
      <c r="D43" s="8" t="s">
        <v>146</v>
      </c>
      <c r="E43" s="8" t="s">
        <v>46</v>
      </c>
      <c r="F43" s="6">
        <v>500</v>
      </c>
      <c r="G43" s="4">
        <v>2019</v>
      </c>
      <c r="H43" s="4" t="s">
        <v>361</v>
      </c>
    </row>
    <row r="44" spans="1:9" ht="15.75" customHeight="1" x14ac:dyDescent="0.2">
      <c r="A44" s="4">
        <v>990</v>
      </c>
      <c r="B44" s="4" t="str">
        <f t="shared" si="0"/>
        <v>Alpaugh Foundation_State Policy Network2017500</v>
      </c>
      <c r="C44" s="4" t="str">
        <f ca="1">IFERROR(__xludf.DUMMYFUNCTION("ARRAY_CONSTRAIN(ARRAYFORMULA(SINGLE(TEXTJOIN(""_"",TRUE,D44,G44))), 1, 1)"),"Alpaugh Foundation_2017")</f>
        <v>Alpaugh Foundation_2017</v>
      </c>
      <c r="D44" s="8" t="s">
        <v>146</v>
      </c>
      <c r="E44" s="8" t="s">
        <v>46</v>
      </c>
      <c r="F44" s="6">
        <v>500</v>
      </c>
      <c r="G44" s="4">
        <v>2017</v>
      </c>
      <c r="H44" s="4" t="s">
        <v>361</v>
      </c>
    </row>
    <row r="45" spans="1:9" ht="15.75" customHeight="1" x14ac:dyDescent="0.2">
      <c r="A45" s="4">
        <v>990</v>
      </c>
      <c r="B45" s="4" t="str">
        <f t="shared" si="0"/>
        <v>Alpaugh Foundation_State Policy Network2016250</v>
      </c>
      <c r="C45" s="4" t="str">
        <f ca="1">IFERROR(__xludf.DUMMYFUNCTION("ARRAY_CONSTRAIN(ARRAYFORMULA(SINGLE(TEXTJOIN(""_"",TRUE,D45,G45))), 1, 1)"),"Alpaugh Foundation_2016")</f>
        <v>Alpaugh Foundation_2016</v>
      </c>
      <c r="D45" s="4" t="s">
        <v>146</v>
      </c>
      <c r="E45" s="8" t="s">
        <v>46</v>
      </c>
      <c r="F45" s="6">
        <v>250</v>
      </c>
      <c r="G45" s="4">
        <v>2016</v>
      </c>
      <c r="H45" s="4" t="s">
        <v>361</v>
      </c>
    </row>
    <row r="46" spans="1:9" ht="15.75" customHeight="1" x14ac:dyDescent="0.2">
      <c r="A46" s="4">
        <v>990</v>
      </c>
      <c r="B46" s="4" t="str">
        <f t="shared" si="0"/>
        <v>Alpaugh Foundation_State Policy Network2014</v>
      </c>
      <c r="C46" s="4" t="str">
        <f ca="1">IFERROR(__xludf.DUMMYFUNCTION("ARRAY_CONSTRAIN(ARRAYFORMULA(SINGLE(TEXTJOIN(""_"",TRUE,D46,G46))), 1, 1)"),"Alpaugh Foundation_2014")</f>
        <v>Alpaugh Foundation_2014</v>
      </c>
      <c r="D46" s="4" t="s">
        <v>146</v>
      </c>
      <c r="E46" s="8" t="s">
        <v>46</v>
      </c>
      <c r="F46" s="6"/>
      <c r="G46" s="4">
        <v>2014</v>
      </c>
      <c r="H46" s="4" t="s">
        <v>361</v>
      </c>
      <c r="I46" s="4" t="s">
        <v>371</v>
      </c>
    </row>
    <row r="47" spans="1:9" ht="15.75" customHeight="1" x14ac:dyDescent="0.2">
      <c r="A47" s="4">
        <v>990</v>
      </c>
      <c r="B47" s="4" t="str">
        <f t="shared" si="0"/>
        <v>Alpaugh Foundation_State Policy Network2013500</v>
      </c>
      <c r="C47" s="4" t="str">
        <f ca="1">IFERROR(__xludf.DUMMYFUNCTION("ARRAY_CONSTRAIN(ARRAYFORMULA(SINGLE(TEXTJOIN(""_"",TRUE,D47,G47))), 1, 1)"),"Alpaugh Foundation_2013")</f>
        <v>Alpaugh Foundation_2013</v>
      </c>
      <c r="D47" s="4" t="s">
        <v>146</v>
      </c>
      <c r="E47" s="8" t="s">
        <v>46</v>
      </c>
      <c r="F47" s="6">
        <v>500</v>
      </c>
      <c r="G47" s="4">
        <v>2013</v>
      </c>
      <c r="H47" s="4" t="s">
        <v>361</v>
      </c>
    </row>
    <row r="48" spans="1:9" ht="15.75" customHeight="1" x14ac:dyDescent="0.2">
      <c r="A48" s="4">
        <v>990</v>
      </c>
      <c r="B48" s="4" t="str">
        <f t="shared" si="0"/>
        <v>Alpaugh Foundation_State Policy Network2012500</v>
      </c>
      <c r="C48" s="4" t="str">
        <f ca="1">IFERROR(__xludf.DUMMYFUNCTION("ARRAY_CONSTRAIN(ARRAYFORMULA(SINGLE(TEXTJOIN(""_"",TRUE,D48,G48))), 1, 1)"),"Alpaugh Foundation_2012")</f>
        <v>Alpaugh Foundation_2012</v>
      </c>
      <c r="D48" s="4" t="s">
        <v>146</v>
      </c>
      <c r="E48" s="8" t="s">
        <v>46</v>
      </c>
      <c r="F48" s="6">
        <v>500</v>
      </c>
      <c r="G48" s="4">
        <v>2012</v>
      </c>
      <c r="H48" s="4" t="s">
        <v>361</v>
      </c>
    </row>
    <row r="49" spans="1:8" ht="15.75" customHeight="1" x14ac:dyDescent="0.2">
      <c r="A49" s="4">
        <v>990</v>
      </c>
      <c r="B49" s="4" t="str">
        <f t="shared" si="0"/>
        <v>Alpaugh Foundation_State Policy Network2011250</v>
      </c>
      <c r="C49" s="4" t="str">
        <f ca="1">IFERROR(__xludf.DUMMYFUNCTION("ARRAY_CONSTRAIN(ARRAYFORMULA(SINGLE(TEXTJOIN(""_"",TRUE,D49,G49))), 1, 1)"),"Alpaugh Foundation_2011")</f>
        <v>Alpaugh Foundation_2011</v>
      </c>
      <c r="D49" s="4" t="s">
        <v>146</v>
      </c>
      <c r="E49" s="8" t="s">
        <v>46</v>
      </c>
      <c r="F49" s="6">
        <v>250</v>
      </c>
      <c r="G49" s="4">
        <v>2011</v>
      </c>
      <c r="H49" s="4" t="s">
        <v>361</v>
      </c>
    </row>
    <row r="50" spans="1:8" ht="15.75" customHeight="1" x14ac:dyDescent="0.2">
      <c r="A50" s="4">
        <v>990</v>
      </c>
      <c r="B50" s="4" t="str">
        <f t="shared" si="0"/>
        <v>Alpaugh Foundation_State Policy Network2010100</v>
      </c>
      <c r="C50" s="4" t="str">
        <f ca="1">IFERROR(__xludf.DUMMYFUNCTION("ARRAY_CONSTRAIN(ARRAYFORMULA(SINGLE(TEXTJOIN(""_"",TRUE,D50,G50))), 1, 1)"),"Alpaugh Foundation_2010")</f>
        <v>Alpaugh Foundation_2010</v>
      </c>
      <c r="D50" s="4" t="s">
        <v>146</v>
      </c>
      <c r="E50" s="8" t="s">
        <v>46</v>
      </c>
      <c r="F50" s="6">
        <v>100</v>
      </c>
      <c r="G50" s="4">
        <v>2010</v>
      </c>
      <c r="H50" s="4" t="s">
        <v>361</v>
      </c>
    </row>
    <row r="51" spans="1:8" ht="15.75" customHeight="1" x14ac:dyDescent="0.2">
      <c r="A51" s="4" t="s">
        <v>372</v>
      </c>
      <c r="B51" s="4" t="str">
        <f t="shared" si="0"/>
        <v>Alta and John Franks Foundation_State Policy Network20215000</v>
      </c>
      <c r="C51" s="4" t="str">
        <f ca="1">IFERROR(__xludf.DUMMYFUNCTION("ARRAY_CONSTRAIN(ARRAYFORMULA(SINGLE(TEXTJOIN(""_"",TRUE,D51,G51))), 1, 1)"),"Alta and John Franks Foundation_2021")</f>
        <v>Alta and John Franks Foundation_2021</v>
      </c>
      <c r="D51" s="4" t="s">
        <v>115</v>
      </c>
      <c r="E51" s="8" t="s">
        <v>46</v>
      </c>
      <c r="F51" s="6">
        <v>5000</v>
      </c>
      <c r="G51" s="4">
        <v>2021</v>
      </c>
      <c r="H51" s="4" t="s">
        <v>361</v>
      </c>
    </row>
    <row r="52" spans="1:8" ht="15.75" customHeight="1" x14ac:dyDescent="0.2">
      <c r="A52" s="4" t="s">
        <v>373</v>
      </c>
      <c r="B52" s="4" t="str">
        <f t="shared" si="0"/>
        <v>Alta and John Franks Foundation_State Policy Network20205000</v>
      </c>
      <c r="C52" s="4" t="str">
        <f ca="1">IFERROR(__xludf.DUMMYFUNCTION("ARRAY_CONSTRAIN(ARRAYFORMULA(SINGLE(TEXTJOIN(""_"",TRUE,D52,G52))), 1, 1)"),"Alta and John Franks Foundation_2020")</f>
        <v>Alta and John Franks Foundation_2020</v>
      </c>
      <c r="D52" s="4" t="s">
        <v>115</v>
      </c>
      <c r="E52" s="8" t="s">
        <v>46</v>
      </c>
      <c r="F52" s="6">
        <v>5000</v>
      </c>
      <c r="G52" s="4">
        <v>2020</v>
      </c>
      <c r="H52" s="4" t="s">
        <v>361</v>
      </c>
    </row>
    <row r="53" spans="1:8" ht="15.75" customHeight="1" x14ac:dyDescent="0.2">
      <c r="A53" s="4" t="s">
        <v>374</v>
      </c>
      <c r="B53" s="4" t="str">
        <f t="shared" si="0"/>
        <v>Alta and John Franks Foundation_State Policy Network20195000</v>
      </c>
      <c r="C53" s="4" t="str">
        <f ca="1">IFERROR(__xludf.DUMMYFUNCTION("ARRAY_CONSTRAIN(ARRAYFORMULA(SINGLE(TEXTJOIN(""_"",TRUE,D53,G53))), 1, 1)"),"Alta and John Franks Foundation_2019")</f>
        <v>Alta and John Franks Foundation_2019</v>
      </c>
      <c r="D53" s="4" t="s">
        <v>115</v>
      </c>
      <c r="E53" s="8" t="s">
        <v>46</v>
      </c>
      <c r="F53" s="6">
        <v>5000</v>
      </c>
      <c r="G53" s="4">
        <v>2019</v>
      </c>
      <c r="H53" s="4" t="s">
        <v>361</v>
      </c>
    </row>
    <row r="54" spans="1:8" ht="15.75" customHeight="1" x14ac:dyDescent="0.2">
      <c r="A54" s="4" t="s">
        <v>375</v>
      </c>
      <c r="B54" s="4" t="str">
        <f t="shared" si="0"/>
        <v>Alton Family Foundation_State Policy Network2021250</v>
      </c>
      <c r="C54" s="4" t="str">
        <f ca="1">IFERROR(__xludf.DUMMYFUNCTION("ARRAY_CONSTRAIN(ARRAYFORMULA(SINGLE(TEXTJOIN(""_"",TRUE,D54,G54))), 1, 1)"),"Alton Family Foundation_2021")</f>
        <v>Alton Family Foundation_2021</v>
      </c>
      <c r="D54" s="4" t="s">
        <v>216</v>
      </c>
      <c r="E54" s="8" t="s">
        <v>46</v>
      </c>
      <c r="F54" s="6">
        <v>250</v>
      </c>
      <c r="G54" s="4">
        <v>2021</v>
      </c>
      <c r="H54" s="4" t="s">
        <v>361</v>
      </c>
    </row>
    <row r="55" spans="1:8" ht="15.75" customHeight="1" x14ac:dyDescent="0.2">
      <c r="A55" s="4" t="s">
        <v>376</v>
      </c>
      <c r="B55" s="4" t="str">
        <f t="shared" si="0"/>
        <v>Amaturo Family Foundation_State Policy Network2021250</v>
      </c>
      <c r="C55" s="4" t="str">
        <f ca="1">IFERROR(__xludf.DUMMYFUNCTION("ARRAY_CONSTRAIN(ARRAYFORMULA(SINGLE(TEXTJOIN(""_"",TRUE,D55,G55))), 1, 1)"),"Amaturo Family Foundation_2021")</f>
        <v>Amaturo Family Foundation_2021</v>
      </c>
      <c r="D55" s="4" t="s">
        <v>173</v>
      </c>
      <c r="E55" s="8" t="s">
        <v>46</v>
      </c>
      <c r="F55" s="6">
        <v>250</v>
      </c>
      <c r="G55" s="4">
        <v>2021</v>
      </c>
      <c r="H55" s="4" t="s">
        <v>361</v>
      </c>
    </row>
    <row r="56" spans="1:8" ht="15.75" customHeight="1" x14ac:dyDescent="0.2">
      <c r="A56" s="4" t="s">
        <v>377</v>
      </c>
      <c r="B56" s="4" t="str">
        <f t="shared" si="0"/>
        <v>Amaturo Family Foundation_State Policy Network2020100</v>
      </c>
      <c r="C56" s="4" t="str">
        <f ca="1">IFERROR(__xludf.DUMMYFUNCTION("ARRAY_CONSTRAIN(ARRAYFORMULA(SINGLE(TEXTJOIN(""_"",TRUE,D56,G56))), 1, 1)"),"Amaturo Family Foundation_2020")</f>
        <v>Amaturo Family Foundation_2020</v>
      </c>
      <c r="D56" s="4" t="s">
        <v>173</v>
      </c>
      <c r="E56" s="8" t="s">
        <v>46</v>
      </c>
      <c r="F56" s="6">
        <v>100</v>
      </c>
      <c r="G56" s="4">
        <v>2020</v>
      </c>
      <c r="H56" s="4" t="s">
        <v>361</v>
      </c>
    </row>
    <row r="57" spans="1:8" ht="15.75" customHeight="1" x14ac:dyDescent="0.2">
      <c r="A57" s="4" t="s">
        <v>378</v>
      </c>
      <c r="B57" s="4" t="str">
        <f t="shared" si="0"/>
        <v>Amaturo Family Foundation_State Policy Network2019300</v>
      </c>
      <c r="C57" s="4" t="str">
        <f ca="1">IFERROR(__xludf.DUMMYFUNCTION("ARRAY_CONSTRAIN(ARRAYFORMULA(SINGLE(TEXTJOIN(""_"",TRUE,D57,G57))), 1, 1)"),"Amaturo Family Foundation_2019")</f>
        <v>Amaturo Family Foundation_2019</v>
      </c>
      <c r="D57" s="4" t="s">
        <v>173</v>
      </c>
      <c r="E57" s="8" t="s">
        <v>46</v>
      </c>
      <c r="F57" s="6">
        <v>300</v>
      </c>
      <c r="G57" s="4">
        <v>2019</v>
      </c>
      <c r="H57" s="4" t="s">
        <v>361</v>
      </c>
    </row>
    <row r="58" spans="1:8" ht="15.75" customHeight="1" x14ac:dyDescent="0.2">
      <c r="A58" s="4" t="s">
        <v>379</v>
      </c>
      <c r="B58" s="4" t="str">
        <f t="shared" si="0"/>
        <v>Amaturo Family Foundation_State Policy Network2017200</v>
      </c>
      <c r="C58" s="4" t="str">
        <f ca="1">IFERROR(__xludf.DUMMYFUNCTION("ARRAY_CONSTRAIN(ARRAYFORMULA(SINGLE(TEXTJOIN(""_"",TRUE,D58,G58))), 1, 1)"),"Amaturo Family Foundation_2017")</f>
        <v>Amaturo Family Foundation_2017</v>
      </c>
      <c r="D58" s="4" t="s">
        <v>173</v>
      </c>
      <c r="E58" s="8" t="s">
        <v>46</v>
      </c>
      <c r="F58" s="6">
        <v>200</v>
      </c>
      <c r="G58" s="4">
        <v>2017</v>
      </c>
      <c r="H58" s="4" t="s">
        <v>361</v>
      </c>
    </row>
    <row r="59" spans="1:8" ht="15.75" customHeight="1" x14ac:dyDescent="0.2">
      <c r="A59" s="4" t="s">
        <v>380</v>
      </c>
      <c r="B59" s="4" t="str">
        <f t="shared" si="0"/>
        <v>Amaturo Family Foundation_State Policy Network2016100</v>
      </c>
      <c r="C59" s="4" t="str">
        <f ca="1">IFERROR(__xludf.DUMMYFUNCTION("ARRAY_CONSTRAIN(ARRAYFORMULA(SINGLE(TEXTJOIN(""_"",TRUE,D59,G59))), 1, 1)"),"Amaturo Family Foundation_2016")</f>
        <v>Amaturo Family Foundation_2016</v>
      </c>
      <c r="D59" s="4" t="s">
        <v>173</v>
      </c>
      <c r="E59" s="8" t="s">
        <v>46</v>
      </c>
      <c r="F59" s="6">
        <v>100</v>
      </c>
      <c r="G59" s="4">
        <v>2016</v>
      </c>
      <c r="H59" s="4" t="s">
        <v>361</v>
      </c>
    </row>
    <row r="60" spans="1:8" ht="15.75" customHeight="1" x14ac:dyDescent="0.2">
      <c r="A60" s="4" t="s">
        <v>381</v>
      </c>
      <c r="B60" s="4" t="str">
        <f t="shared" si="0"/>
        <v>Amaturo Family Foundation_State Policy Network2014100</v>
      </c>
      <c r="C60" s="4" t="str">
        <f ca="1">IFERROR(__xludf.DUMMYFUNCTION("ARRAY_CONSTRAIN(ARRAYFORMULA(SINGLE(TEXTJOIN(""_"",TRUE,D60,G60))), 1, 1)"),"Amaturo Family Foundation_2014")</f>
        <v>Amaturo Family Foundation_2014</v>
      </c>
      <c r="D60" s="4" t="s">
        <v>173</v>
      </c>
      <c r="E60" s="8" t="s">
        <v>46</v>
      </c>
      <c r="F60" s="6">
        <v>100</v>
      </c>
      <c r="G60" s="4">
        <v>2014</v>
      </c>
      <c r="H60" s="4" t="s">
        <v>361</v>
      </c>
    </row>
    <row r="61" spans="1:8" ht="15.75" customHeight="1" x14ac:dyDescent="0.2">
      <c r="A61" s="4" t="s">
        <v>382</v>
      </c>
      <c r="B61" s="4" t="str">
        <f t="shared" si="0"/>
        <v>Amaturo Family Foundation_State Policy Network2013100</v>
      </c>
      <c r="C61" s="4" t="str">
        <f ca="1">IFERROR(__xludf.DUMMYFUNCTION("ARRAY_CONSTRAIN(ARRAYFORMULA(SINGLE(TEXTJOIN(""_"",TRUE,D61,G61))), 1, 1)"),"Amaturo Family Foundation_2013")</f>
        <v>Amaturo Family Foundation_2013</v>
      </c>
      <c r="D61" s="4" t="s">
        <v>173</v>
      </c>
      <c r="E61" s="8" t="s">
        <v>46</v>
      </c>
      <c r="F61" s="6">
        <v>100</v>
      </c>
      <c r="G61" s="4">
        <v>2013</v>
      </c>
      <c r="H61" s="4" t="s">
        <v>361</v>
      </c>
    </row>
    <row r="62" spans="1:8" ht="15.75" customHeight="1" x14ac:dyDescent="0.2">
      <c r="A62" s="4" t="s">
        <v>383</v>
      </c>
      <c r="B62" s="4" t="str">
        <f t="shared" si="0"/>
        <v>American Endowment Foundation_State Policy Network20216500</v>
      </c>
      <c r="C62" s="4" t="str">
        <f ca="1">IFERROR(__xludf.DUMMYFUNCTION("ARRAY_CONSTRAIN(ARRAYFORMULA(SINGLE(TEXTJOIN(""_"",TRUE,D62,G62))), 1, 1)"),"American Endowment Foundation_2021")</f>
        <v>American Endowment Foundation_2021</v>
      </c>
      <c r="D62" s="4" t="s">
        <v>104</v>
      </c>
      <c r="E62" s="8" t="s">
        <v>46</v>
      </c>
      <c r="F62" s="6">
        <v>6500</v>
      </c>
      <c r="G62" s="4">
        <v>2021</v>
      </c>
      <c r="H62" s="4" t="s">
        <v>361</v>
      </c>
    </row>
    <row r="63" spans="1:8" ht="15.75" customHeight="1" x14ac:dyDescent="0.2">
      <c r="A63" s="4" t="s">
        <v>384</v>
      </c>
      <c r="B63" s="4" t="str">
        <f t="shared" si="0"/>
        <v>American Endowment Foundation_State Policy Network20185250</v>
      </c>
      <c r="C63" s="4" t="str">
        <f ca="1">IFERROR(__xludf.DUMMYFUNCTION("ARRAY_CONSTRAIN(ARRAYFORMULA(SINGLE(TEXTJOIN(""_"",TRUE,D63,G63))), 1, 1)"),"American Endowment Foundation_2018")</f>
        <v>American Endowment Foundation_2018</v>
      </c>
      <c r="D63" s="4" t="s">
        <v>104</v>
      </c>
      <c r="E63" s="8" t="s">
        <v>46</v>
      </c>
      <c r="F63" s="6">
        <v>5250</v>
      </c>
      <c r="G63" s="4">
        <v>2018</v>
      </c>
      <c r="H63" s="4" t="s">
        <v>361</v>
      </c>
    </row>
    <row r="64" spans="1:8" ht="15.75" customHeight="1" x14ac:dyDescent="0.2">
      <c r="A64" s="4" t="s">
        <v>385</v>
      </c>
      <c r="B64" s="4" t="str">
        <f t="shared" si="0"/>
        <v>American Endowment Foundation_State Policy Network20156000</v>
      </c>
      <c r="C64" s="4" t="str">
        <f ca="1">IFERROR(__xludf.DUMMYFUNCTION("ARRAY_CONSTRAIN(ARRAYFORMULA(SINGLE(TEXTJOIN(""_"",TRUE,D64,G64))), 1, 1)"),"American Endowment Foundation_2015")</f>
        <v>American Endowment Foundation_2015</v>
      </c>
      <c r="D64" s="4" t="s">
        <v>104</v>
      </c>
      <c r="E64" s="8" t="s">
        <v>46</v>
      </c>
      <c r="F64" s="6">
        <v>6000</v>
      </c>
      <c r="G64" s="4">
        <v>2015</v>
      </c>
      <c r="H64" s="4" t="s">
        <v>361</v>
      </c>
    </row>
    <row r="65" spans="1:8" ht="15.75" customHeight="1" x14ac:dyDescent="0.2">
      <c r="A65" s="4">
        <v>990</v>
      </c>
      <c r="B65" s="4" t="str">
        <f t="shared" si="0"/>
        <v>American Fuel and Petrochemical Manufacturers_State Policy Network202110000</v>
      </c>
      <c r="C65" s="4" t="str">
        <f ca="1">IFERROR(__xludf.DUMMYFUNCTION("ARRAY_CONSTRAIN(ARRAYFORMULA(SINGLE(TEXTJOIN(""_"",TRUE,D65,G65))), 1, 1)"),"American Fuel and Petrochemical Manufacturers_2021")</f>
        <v>American Fuel and Petrochemical Manufacturers_2021</v>
      </c>
      <c r="D65" s="8" t="s">
        <v>71</v>
      </c>
      <c r="E65" s="8" t="s">
        <v>46</v>
      </c>
      <c r="F65" s="6">
        <v>10000</v>
      </c>
      <c r="G65" s="4">
        <v>2021</v>
      </c>
      <c r="H65" s="4" t="s">
        <v>361</v>
      </c>
    </row>
    <row r="66" spans="1:8" ht="15.75" customHeight="1" x14ac:dyDescent="0.2">
      <c r="A66" s="4">
        <v>990</v>
      </c>
      <c r="B66" s="4" t="str">
        <f t="shared" si="0"/>
        <v>American Fuel and Petrochemical Manufacturers_State Policy Network201910000</v>
      </c>
      <c r="C66" s="4" t="str">
        <f ca="1">IFERROR(__xludf.DUMMYFUNCTION("ARRAY_CONSTRAIN(ARRAYFORMULA(SINGLE(TEXTJOIN(""_"",TRUE,D66,G66))), 1, 1)"),"American Fuel and Petrochemical Manufacturers_2019")</f>
        <v>American Fuel and Petrochemical Manufacturers_2019</v>
      </c>
      <c r="D66" s="8" t="s">
        <v>71</v>
      </c>
      <c r="E66" s="8" t="s">
        <v>46</v>
      </c>
      <c r="F66" s="6">
        <v>10000</v>
      </c>
      <c r="G66" s="4">
        <v>2019</v>
      </c>
      <c r="H66" s="4" t="s">
        <v>361</v>
      </c>
    </row>
    <row r="67" spans="1:8" ht="15.75" customHeight="1" x14ac:dyDescent="0.2">
      <c r="A67" s="4">
        <v>990</v>
      </c>
      <c r="B67" s="4" t="str">
        <f t="shared" si="0"/>
        <v>American Fuel and Petrochemical Manufacturers_State Policy Network201816000</v>
      </c>
      <c r="C67" s="4" t="str">
        <f ca="1">IFERROR(__xludf.DUMMYFUNCTION("ARRAY_CONSTRAIN(ARRAYFORMULA(SINGLE(TEXTJOIN(""_"",TRUE,D67,G67))), 1, 1)"),"American Fuel and Petrochemical Manufacturers_2018")</f>
        <v>American Fuel and Petrochemical Manufacturers_2018</v>
      </c>
      <c r="D67" s="8" t="s">
        <v>71</v>
      </c>
      <c r="E67" s="8" t="s">
        <v>46</v>
      </c>
      <c r="F67" s="6">
        <v>16000</v>
      </c>
      <c r="G67" s="4">
        <v>2018</v>
      </c>
      <c r="H67" s="4" t="s">
        <v>361</v>
      </c>
    </row>
    <row r="68" spans="1:8" ht="15.75" customHeight="1" x14ac:dyDescent="0.2">
      <c r="A68" s="4">
        <v>990</v>
      </c>
      <c r="B68" s="4" t="str">
        <f t="shared" si="0"/>
        <v>American Fuel and Petrochemical Manufacturers_State Policy Network201715000</v>
      </c>
      <c r="C68" s="4" t="str">
        <f ca="1">IFERROR(__xludf.DUMMYFUNCTION("ARRAY_CONSTRAIN(ARRAYFORMULA(SINGLE(TEXTJOIN(""_"",TRUE,D68,G68))), 1, 1)"),"American Fuel and Petrochemical Manufacturers_2017")</f>
        <v>American Fuel and Petrochemical Manufacturers_2017</v>
      </c>
      <c r="D68" s="8" t="s">
        <v>71</v>
      </c>
      <c r="E68" s="8" t="s">
        <v>46</v>
      </c>
      <c r="F68" s="6">
        <v>15000</v>
      </c>
      <c r="G68" s="4">
        <v>2017</v>
      </c>
      <c r="H68" s="4" t="s">
        <v>361</v>
      </c>
    </row>
    <row r="69" spans="1:8" ht="15.75" customHeight="1" x14ac:dyDescent="0.2">
      <c r="A69" s="4">
        <v>990</v>
      </c>
      <c r="B69" s="4" t="str">
        <f t="shared" si="0"/>
        <v>American Legislative Exchange Council_State Policy Network20135000</v>
      </c>
      <c r="C69" s="4" t="str">
        <f ca="1">IFERROR(__xludf.DUMMYFUNCTION("ARRAY_CONSTRAIN(ARRAYFORMULA(SINGLE(TEXTJOIN(""_"",TRUE,D69,G69))), 1, 1)"),"American Legislative Exchange Council_2013")</f>
        <v>American Legislative Exchange Council_2013</v>
      </c>
      <c r="D69" s="4" t="s">
        <v>114</v>
      </c>
      <c r="E69" s="8" t="s">
        <v>46</v>
      </c>
      <c r="F69" s="6">
        <v>5000</v>
      </c>
      <c r="G69" s="4">
        <v>2013</v>
      </c>
      <c r="H69" s="4" t="s">
        <v>359</v>
      </c>
    </row>
    <row r="70" spans="1:8" ht="15.75" customHeight="1" x14ac:dyDescent="0.2">
      <c r="A70" s="4">
        <v>990</v>
      </c>
      <c r="B70" s="4" t="str">
        <f t="shared" si="0"/>
        <v>American Legislative Exchange Council_State Policy Network201210000</v>
      </c>
      <c r="C70" s="4" t="str">
        <f ca="1">IFERROR(__xludf.DUMMYFUNCTION("ARRAY_CONSTRAIN(ARRAYFORMULA(SINGLE(TEXTJOIN(""_"",TRUE,D70,G70))), 1, 1)"),"American Legislative Exchange Council_2012")</f>
        <v>American Legislative Exchange Council_2012</v>
      </c>
      <c r="D70" s="4" t="s">
        <v>114</v>
      </c>
      <c r="E70" s="8" t="s">
        <v>46</v>
      </c>
      <c r="F70" s="6">
        <v>10000</v>
      </c>
      <c r="G70" s="4">
        <v>2012</v>
      </c>
      <c r="H70" s="4" t="s">
        <v>359</v>
      </c>
    </row>
    <row r="71" spans="1:8" ht="15.75" customHeight="1" x14ac:dyDescent="0.2">
      <c r="A71" s="4">
        <v>990</v>
      </c>
      <c r="B71" s="4" t="str">
        <f t="shared" si="0"/>
        <v>Americans for Prosperity Foundation_State Policy Network201215000</v>
      </c>
      <c r="C71" s="4" t="str">
        <f ca="1">IFERROR(__xludf.DUMMYFUNCTION("ARRAY_CONSTRAIN(ARRAYFORMULA(SINGLE(TEXTJOIN(""_"",TRUE,D71,G71))), 1, 1)"),"Americans for Prosperity Foundation_2012")</f>
        <v>Americans for Prosperity Foundation_2012</v>
      </c>
      <c r="D71" s="4" t="s">
        <v>113</v>
      </c>
      <c r="E71" s="8" t="s">
        <v>46</v>
      </c>
      <c r="F71" s="6">
        <v>15000</v>
      </c>
      <c r="G71" s="4">
        <v>2012</v>
      </c>
      <c r="H71" s="4" t="s">
        <v>361</v>
      </c>
    </row>
    <row r="72" spans="1:8" ht="15.75" customHeight="1" x14ac:dyDescent="0.2">
      <c r="A72" s="4">
        <v>990</v>
      </c>
      <c r="B72" s="4" t="str">
        <f t="shared" si="0"/>
        <v>Americans for Tax Reform Foundation_State Policy Network2002500</v>
      </c>
      <c r="C72" s="4" t="str">
        <f ca="1">IFERROR(__xludf.DUMMYFUNCTION("ARRAY_CONSTRAIN(ARRAYFORMULA(SINGLE(TEXTJOIN(""_"",TRUE,D72,G72))), 1, 1)"),"Americans for Tax Reform Foundation_2002")</f>
        <v>Americans for Tax Reform Foundation_2002</v>
      </c>
      <c r="D72" s="4" t="s">
        <v>204</v>
      </c>
      <c r="E72" s="8" t="s">
        <v>46</v>
      </c>
      <c r="F72" s="6">
        <v>500</v>
      </c>
      <c r="G72" s="4">
        <v>2002</v>
      </c>
      <c r="H72" s="4" t="s">
        <v>361</v>
      </c>
    </row>
    <row r="73" spans="1:8" ht="15.75" customHeight="1" x14ac:dyDescent="0.2">
      <c r="A73" s="4" t="s">
        <v>386</v>
      </c>
      <c r="B73" s="4" t="str">
        <f t="shared" si="0"/>
        <v>Anna Paulina Foundation_State Policy Network2017500</v>
      </c>
      <c r="C73" s="4" t="str">
        <f ca="1">IFERROR(__xludf.DUMMYFUNCTION("ARRAY_CONSTRAIN(ARRAYFORMULA(SINGLE(TEXTJOIN(""_"",TRUE,D73,G73))), 1, 1)"),"Anna Paulina Foundation_2017")</f>
        <v>Anna Paulina Foundation_2017</v>
      </c>
      <c r="D73" s="4" t="s">
        <v>148</v>
      </c>
      <c r="E73" s="8" t="s">
        <v>46</v>
      </c>
      <c r="F73" s="6">
        <v>500</v>
      </c>
      <c r="G73" s="4">
        <v>2017</v>
      </c>
      <c r="H73" s="4" t="s">
        <v>361</v>
      </c>
    </row>
    <row r="74" spans="1:8" ht="15.75" customHeight="1" x14ac:dyDescent="0.2">
      <c r="A74" s="4" t="s">
        <v>387</v>
      </c>
      <c r="B74" s="4" t="str">
        <f t="shared" si="0"/>
        <v>Anna Paulina Foundation_State Policy Network20105000</v>
      </c>
      <c r="C74" s="4" t="str">
        <f ca="1">IFERROR(__xludf.DUMMYFUNCTION("ARRAY_CONSTRAIN(ARRAYFORMULA(SINGLE(TEXTJOIN(""_"",TRUE,D74,G74))), 1, 1)"),"Anna Paulina Foundation_2010")</f>
        <v>Anna Paulina Foundation_2010</v>
      </c>
      <c r="D74" s="4" t="s">
        <v>148</v>
      </c>
      <c r="E74" s="8" t="s">
        <v>46</v>
      </c>
      <c r="F74" s="6">
        <v>5000</v>
      </c>
      <c r="G74" s="4">
        <v>2010</v>
      </c>
      <c r="H74" s="4" t="s">
        <v>361</v>
      </c>
    </row>
    <row r="75" spans="1:8" ht="15.75" customHeight="1" x14ac:dyDescent="0.2">
      <c r="A75" s="4" t="s">
        <v>388</v>
      </c>
      <c r="B75" s="4" t="str">
        <f t="shared" si="0"/>
        <v>Arizona State University Foundation for a New American University_State Policy Network202045000</v>
      </c>
      <c r="C75" s="4" t="str">
        <f ca="1">IFERROR(__xludf.DUMMYFUNCTION("ARRAY_CONSTRAIN(ARRAYFORMULA(SINGLE(TEXTJOIN(""_"",TRUE,D75,G75))), 1, 1)"),"Arizona State University Foundation for a New American University_2020")</f>
        <v>Arizona State University Foundation for a New American University_2020</v>
      </c>
      <c r="D75" s="4" t="s">
        <v>78</v>
      </c>
      <c r="E75" s="8" t="s">
        <v>46</v>
      </c>
      <c r="F75" s="6">
        <v>45000</v>
      </c>
      <c r="G75" s="4">
        <v>2020</v>
      </c>
      <c r="H75" s="4" t="s">
        <v>361</v>
      </c>
    </row>
    <row r="76" spans="1:8" ht="15.75" customHeight="1" x14ac:dyDescent="0.2">
      <c r="A76" s="4">
        <v>990</v>
      </c>
      <c r="B76" s="4" t="str">
        <f t="shared" si="0"/>
        <v>Armstrong Foundation_State Policy Network202135000</v>
      </c>
      <c r="C76" s="4" t="str">
        <f ca="1">IFERROR(__xludf.DUMMYFUNCTION("ARRAY_CONSTRAIN(ARRAYFORMULA(SINGLE(TEXTJOIN(""_"",TRUE,D76,G76))), 1, 1)"),"Armstrong Foundation_2021")</f>
        <v>Armstrong Foundation_2021</v>
      </c>
      <c r="D76" s="4" t="s">
        <v>33</v>
      </c>
      <c r="E76" s="8" t="s">
        <v>46</v>
      </c>
      <c r="F76" s="6">
        <v>35000</v>
      </c>
      <c r="G76" s="4">
        <v>2021</v>
      </c>
      <c r="H76" s="4" t="s">
        <v>361</v>
      </c>
    </row>
    <row r="77" spans="1:8" ht="15.75" customHeight="1" x14ac:dyDescent="0.2">
      <c r="A77" s="4">
        <v>990</v>
      </c>
      <c r="B77" s="4" t="str">
        <f t="shared" si="0"/>
        <v>Armstrong Foundation_State Policy Network202035000</v>
      </c>
      <c r="C77" s="4" t="str">
        <f ca="1">IFERROR(__xludf.DUMMYFUNCTION("ARRAY_CONSTRAIN(ARRAYFORMULA(SINGLE(TEXTJOIN(""_"",TRUE,D77,G77))), 1, 1)"),"Armstrong Foundation_2020")</f>
        <v>Armstrong Foundation_2020</v>
      </c>
      <c r="D77" s="4" t="s">
        <v>33</v>
      </c>
      <c r="E77" s="8" t="s">
        <v>46</v>
      </c>
      <c r="F77" s="6">
        <v>35000</v>
      </c>
      <c r="G77" s="4">
        <v>2020</v>
      </c>
      <c r="H77" s="4" t="s">
        <v>361</v>
      </c>
    </row>
    <row r="78" spans="1:8" ht="15.75" customHeight="1" x14ac:dyDescent="0.2">
      <c r="A78" s="4">
        <v>990</v>
      </c>
      <c r="B78" s="4" t="str">
        <f t="shared" si="0"/>
        <v>Armstrong Foundation_State Policy Network201930000</v>
      </c>
      <c r="C78" s="4" t="str">
        <f ca="1">IFERROR(__xludf.DUMMYFUNCTION("ARRAY_CONSTRAIN(ARRAYFORMULA(SINGLE(TEXTJOIN(""_"",TRUE,D78,G78))), 1, 1)"),"Armstrong Foundation_2019")</f>
        <v>Armstrong Foundation_2019</v>
      </c>
      <c r="D78" s="4" t="s">
        <v>33</v>
      </c>
      <c r="E78" s="8" t="s">
        <v>46</v>
      </c>
      <c r="F78" s="6">
        <v>30000</v>
      </c>
      <c r="G78" s="4">
        <v>2019</v>
      </c>
      <c r="H78" s="4" t="s">
        <v>361</v>
      </c>
    </row>
    <row r="79" spans="1:8" ht="15.75" customHeight="1" x14ac:dyDescent="0.2">
      <c r="A79" s="4">
        <v>990</v>
      </c>
      <c r="B79" s="4" t="str">
        <f t="shared" si="0"/>
        <v>Armstrong Foundation_State Policy Network201830000</v>
      </c>
      <c r="C79" s="4" t="str">
        <f ca="1">IFERROR(__xludf.DUMMYFUNCTION("ARRAY_CONSTRAIN(ARRAYFORMULA(SINGLE(TEXTJOIN(""_"",TRUE,D79,G79))), 1, 1)"),"Armstrong Foundation_2018")</f>
        <v>Armstrong Foundation_2018</v>
      </c>
      <c r="D79" s="4" t="s">
        <v>33</v>
      </c>
      <c r="E79" s="8" t="s">
        <v>46</v>
      </c>
      <c r="F79" s="6">
        <v>30000</v>
      </c>
      <c r="G79" s="4">
        <v>2018</v>
      </c>
      <c r="H79" s="4" t="s">
        <v>361</v>
      </c>
    </row>
    <row r="80" spans="1:8" ht="15.75" customHeight="1" x14ac:dyDescent="0.2">
      <c r="A80" s="4">
        <v>990</v>
      </c>
      <c r="B80" s="4" t="str">
        <f t="shared" si="0"/>
        <v>Armstrong Foundation_State Policy Network201725000</v>
      </c>
      <c r="C80" s="4" t="str">
        <f ca="1">IFERROR(__xludf.DUMMYFUNCTION("ARRAY_CONSTRAIN(ARRAYFORMULA(SINGLE(TEXTJOIN(""_"",TRUE,D80,G80))), 1, 1)"),"Armstrong Foundation_2017")</f>
        <v>Armstrong Foundation_2017</v>
      </c>
      <c r="D80" s="4" t="s">
        <v>33</v>
      </c>
      <c r="E80" s="8" t="s">
        <v>46</v>
      </c>
      <c r="F80" s="6">
        <v>25000</v>
      </c>
      <c r="G80" s="4">
        <v>2017</v>
      </c>
      <c r="H80" s="4" t="s">
        <v>361</v>
      </c>
    </row>
    <row r="81" spans="1:8" ht="15.75" customHeight="1" x14ac:dyDescent="0.2">
      <c r="A81" s="4">
        <v>990</v>
      </c>
      <c r="B81" s="4" t="str">
        <f t="shared" si="0"/>
        <v>Armstrong Foundation_State Policy Network201635000</v>
      </c>
      <c r="C81" s="4" t="str">
        <f ca="1">IFERROR(__xludf.DUMMYFUNCTION("ARRAY_CONSTRAIN(ARRAYFORMULA(SINGLE(TEXTJOIN(""_"",TRUE,D81,G81))), 1, 1)"),"Armstrong Foundation_2016")</f>
        <v>Armstrong Foundation_2016</v>
      </c>
      <c r="D81" s="4" t="s">
        <v>33</v>
      </c>
      <c r="E81" s="8" t="s">
        <v>46</v>
      </c>
      <c r="F81" s="6">
        <v>35000</v>
      </c>
      <c r="G81" s="4">
        <v>2016</v>
      </c>
      <c r="H81" s="4" t="s">
        <v>361</v>
      </c>
    </row>
    <row r="82" spans="1:8" ht="15.75" customHeight="1" x14ac:dyDescent="0.2">
      <c r="A82" s="4">
        <v>990</v>
      </c>
      <c r="B82" s="4" t="str">
        <f t="shared" si="0"/>
        <v>Armstrong Foundation_State Policy Network201535000</v>
      </c>
      <c r="C82" s="4" t="str">
        <f ca="1">IFERROR(__xludf.DUMMYFUNCTION("ARRAY_CONSTRAIN(ARRAYFORMULA(SINGLE(TEXTJOIN(""_"",TRUE,D82,G82))), 1, 1)"),"Armstrong Foundation_2015")</f>
        <v>Armstrong Foundation_2015</v>
      </c>
      <c r="D82" s="4" t="s">
        <v>33</v>
      </c>
      <c r="E82" s="8" t="s">
        <v>46</v>
      </c>
      <c r="F82" s="6">
        <v>35000</v>
      </c>
      <c r="G82" s="4">
        <v>2015</v>
      </c>
      <c r="H82" s="4" t="s">
        <v>361</v>
      </c>
    </row>
    <row r="83" spans="1:8" ht="15.75" customHeight="1" x14ac:dyDescent="0.2">
      <c r="A83" s="4">
        <v>990</v>
      </c>
      <c r="B83" s="4" t="str">
        <f t="shared" si="0"/>
        <v>Armstrong Foundation_State Policy Network201430000</v>
      </c>
      <c r="C83" s="4" t="str">
        <f ca="1">IFERROR(__xludf.DUMMYFUNCTION("ARRAY_CONSTRAIN(ARRAYFORMULA(SINGLE(TEXTJOIN(""_"",TRUE,D83,G83))), 1, 1)"),"Armstrong Foundation_2014")</f>
        <v>Armstrong Foundation_2014</v>
      </c>
      <c r="D83" s="4" t="s">
        <v>33</v>
      </c>
      <c r="E83" s="8" t="s">
        <v>46</v>
      </c>
      <c r="F83" s="6">
        <v>30000</v>
      </c>
      <c r="G83" s="4">
        <v>2014</v>
      </c>
      <c r="H83" s="4" t="s">
        <v>361</v>
      </c>
    </row>
    <row r="84" spans="1:8" ht="15.75" customHeight="1" x14ac:dyDescent="0.2">
      <c r="A84" s="4">
        <v>990</v>
      </c>
      <c r="B84" s="4" t="str">
        <f t="shared" si="0"/>
        <v>Armstrong Foundation_State Policy Network201310000</v>
      </c>
      <c r="C84" s="4" t="str">
        <f ca="1">IFERROR(__xludf.DUMMYFUNCTION("ARRAY_CONSTRAIN(ARRAYFORMULA(SINGLE(TEXTJOIN(""_"",TRUE,D84,G84))), 1, 1)"),"Armstrong Foundation_2013")</f>
        <v>Armstrong Foundation_2013</v>
      </c>
      <c r="D84" s="4" t="s">
        <v>33</v>
      </c>
      <c r="E84" s="8" t="s">
        <v>46</v>
      </c>
      <c r="F84" s="6">
        <v>10000</v>
      </c>
      <c r="G84" s="4">
        <v>2013</v>
      </c>
      <c r="H84" s="4" t="s">
        <v>361</v>
      </c>
    </row>
    <row r="85" spans="1:8" ht="15.75" customHeight="1" x14ac:dyDescent="0.2">
      <c r="A85" s="4" t="s">
        <v>368</v>
      </c>
      <c r="B85" s="4" t="str">
        <f t="shared" si="0"/>
        <v>Armstrong Foundation_State Policy Network201210000</v>
      </c>
      <c r="C85" s="4" t="str">
        <f ca="1">IFERROR(__xludf.DUMMYFUNCTION("ARRAY_CONSTRAIN(ARRAYFORMULA(SINGLE(TEXTJOIN(""_"",TRUE,D85,G85))), 1, 1)"),"Armstrong Foundation_2012")</f>
        <v>Armstrong Foundation_2012</v>
      </c>
      <c r="D85" s="4" t="s">
        <v>33</v>
      </c>
      <c r="E85" s="8" t="s">
        <v>46</v>
      </c>
      <c r="F85" s="6">
        <v>10000</v>
      </c>
      <c r="G85" s="4">
        <v>2012</v>
      </c>
      <c r="H85" s="4" t="s">
        <v>359</v>
      </c>
    </row>
    <row r="86" spans="1:8" ht="15.75" customHeight="1" x14ac:dyDescent="0.2">
      <c r="A86" s="4" t="s">
        <v>369</v>
      </c>
      <c r="B86" s="4" t="str">
        <f t="shared" si="0"/>
        <v>Armstrong Foundation_State Policy Network201110000</v>
      </c>
      <c r="C86" s="4" t="str">
        <f ca="1">IFERROR(__xludf.DUMMYFUNCTION("ARRAY_CONSTRAIN(ARRAYFORMULA(SINGLE(TEXTJOIN(""_"",TRUE,D86,G86))), 1, 1)"),"Armstrong Foundation_2011")</f>
        <v>Armstrong Foundation_2011</v>
      </c>
      <c r="D86" s="4" t="s">
        <v>33</v>
      </c>
      <c r="E86" s="8" t="s">
        <v>46</v>
      </c>
      <c r="F86" s="6">
        <v>10000</v>
      </c>
      <c r="G86" s="4">
        <v>2011</v>
      </c>
      <c r="H86" s="4" t="s">
        <v>359</v>
      </c>
    </row>
    <row r="87" spans="1:8" ht="15.75" customHeight="1" x14ac:dyDescent="0.2">
      <c r="A87" s="4" t="s">
        <v>369</v>
      </c>
      <c r="B87" s="4" t="str">
        <f t="shared" si="0"/>
        <v>Armstrong Foundation_State Policy Network201015000</v>
      </c>
      <c r="C87" s="4" t="str">
        <f ca="1">IFERROR(__xludf.DUMMYFUNCTION("ARRAY_CONSTRAIN(ARRAYFORMULA(SINGLE(TEXTJOIN(""_"",TRUE,D87,G87))), 1, 1)"),"Armstrong Foundation_2010")</f>
        <v>Armstrong Foundation_2010</v>
      </c>
      <c r="D87" s="4" t="s">
        <v>33</v>
      </c>
      <c r="E87" s="8" t="s">
        <v>46</v>
      </c>
      <c r="F87" s="6">
        <v>15000</v>
      </c>
      <c r="G87" s="4">
        <v>2010</v>
      </c>
      <c r="H87" s="4" t="s">
        <v>359</v>
      </c>
    </row>
    <row r="88" spans="1:8" ht="15.75" customHeight="1" x14ac:dyDescent="0.2">
      <c r="A88" s="4" t="s">
        <v>369</v>
      </c>
      <c r="B88" s="4" t="str">
        <f t="shared" si="0"/>
        <v>Armstrong Foundation_State Policy Network20095000</v>
      </c>
      <c r="C88" s="4" t="str">
        <f ca="1">IFERROR(__xludf.DUMMYFUNCTION("ARRAY_CONSTRAIN(ARRAYFORMULA(SINGLE(TEXTJOIN(""_"",TRUE,D88,G88))), 1, 1)"),"Armstrong Foundation_2009")</f>
        <v>Armstrong Foundation_2009</v>
      </c>
      <c r="D88" s="4" t="s">
        <v>33</v>
      </c>
      <c r="E88" s="8" t="s">
        <v>46</v>
      </c>
      <c r="F88" s="6">
        <v>5000</v>
      </c>
      <c r="G88" s="4">
        <v>2009</v>
      </c>
      <c r="H88" s="4" t="s">
        <v>359</v>
      </c>
    </row>
    <row r="89" spans="1:8" ht="15.75" customHeight="1" x14ac:dyDescent="0.2">
      <c r="A89" s="4" t="s">
        <v>369</v>
      </c>
      <c r="B89" s="4" t="str">
        <f t="shared" si="0"/>
        <v>Armstrong Foundation_State Policy Network200810000</v>
      </c>
      <c r="C89" s="4" t="str">
        <f ca="1">IFERROR(__xludf.DUMMYFUNCTION("ARRAY_CONSTRAIN(ARRAYFORMULA(SINGLE(TEXTJOIN(""_"",TRUE,D89,G89))), 1, 1)"),"Armstrong Foundation_2008")</f>
        <v>Armstrong Foundation_2008</v>
      </c>
      <c r="D89" s="4" t="s">
        <v>33</v>
      </c>
      <c r="E89" s="8" t="s">
        <v>46</v>
      </c>
      <c r="F89" s="6">
        <v>10000</v>
      </c>
      <c r="G89" s="4">
        <v>2008</v>
      </c>
      <c r="H89" s="4" t="s">
        <v>359</v>
      </c>
    </row>
    <row r="90" spans="1:8" ht="15.75" customHeight="1" x14ac:dyDescent="0.2">
      <c r="A90" s="4" t="s">
        <v>369</v>
      </c>
      <c r="B90" s="4" t="str">
        <f t="shared" si="0"/>
        <v>Armstrong Foundation_State Policy Network20075000</v>
      </c>
      <c r="C90" s="4" t="str">
        <f ca="1">IFERROR(__xludf.DUMMYFUNCTION("ARRAY_CONSTRAIN(ARRAYFORMULA(SINGLE(TEXTJOIN(""_"",TRUE,D90,G90))), 1, 1)"),"Armstrong Foundation_2007")</f>
        <v>Armstrong Foundation_2007</v>
      </c>
      <c r="D90" s="4" t="s">
        <v>33</v>
      </c>
      <c r="E90" s="8" t="s">
        <v>46</v>
      </c>
      <c r="F90" s="6">
        <v>5000</v>
      </c>
      <c r="G90" s="4">
        <v>2007</v>
      </c>
      <c r="H90" s="4" t="s">
        <v>359</v>
      </c>
    </row>
    <row r="91" spans="1:8" ht="15.75" customHeight="1" x14ac:dyDescent="0.2">
      <c r="A91" s="4" t="s">
        <v>389</v>
      </c>
      <c r="B91" s="4" t="str">
        <f t="shared" si="0"/>
        <v>Arthur L &amp; Lily D Walters Foundation_State Policy Network2015125</v>
      </c>
      <c r="C91" s="4" t="str">
        <f ca="1">IFERROR(__xludf.DUMMYFUNCTION("ARRAY_CONSTRAIN(ARRAYFORMULA(SINGLE(TEXTJOIN(""_"",TRUE,D91,G91))), 1, 1)"),"Arthur L &amp; Lily D Walters Foundation_2015")</f>
        <v>Arthur L &amp; Lily D Walters Foundation_2015</v>
      </c>
      <c r="D91" s="4" t="s">
        <v>221</v>
      </c>
      <c r="E91" s="8" t="s">
        <v>46</v>
      </c>
      <c r="F91" s="6">
        <v>125</v>
      </c>
      <c r="G91" s="4">
        <v>2015</v>
      </c>
      <c r="H91" s="4" t="s">
        <v>361</v>
      </c>
    </row>
    <row r="92" spans="1:8" ht="15.75" customHeight="1" x14ac:dyDescent="0.2">
      <c r="A92" s="4" t="s">
        <v>368</v>
      </c>
      <c r="B92" s="4" t="str">
        <f t="shared" si="0"/>
        <v>Atlas Economic Research Foundation_State Policy Network201410000</v>
      </c>
      <c r="C92" s="4" t="str">
        <f ca="1">IFERROR(__xludf.DUMMYFUNCTION("ARRAY_CONSTRAIN(ARRAYFORMULA(SINGLE(TEXTJOIN(""_"",TRUE,D92,G92))), 1, 1)"),"Atlas Economic Research Foundation_2014")</f>
        <v>Atlas Economic Research Foundation_2014</v>
      </c>
      <c r="D92" s="4" t="s">
        <v>94</v>
      </c>
      <c r="E92" s="8" t="s">
        <v>46</v>
      </c>
      <c r="F92" s="6">
        <v>10000</v>
      </c>
      <c r="G92" s="4">
        <v>2014</v>
      </c>
      <c r="H92" s="4" t="s">
        <v>359</v>
      </c>
    </row>
    <row r="93" spans="1:8" ht="15.75" customHeight="1" x14ac:dyDescent="0.2">
      <c r="A93" s="4" t="s">
        <v>368</v>
      </c>
      <c r="B93" s="4" t="str">
        <f t="shared" si="0"/>
        <v>Atlas Economic Research Foundation_State Policy Network201315000</v>
      </c>
      <c r="C93" s="4" t="str">
        <f ca="1">IFERROR(__xludf.DUMMYFUNCTION("ARRAY_CONSTRAIN(ARRAYFORMULA(SINGLE(TEXTJOIN(""_"",TRUE,D93,G93))), 1, 1)"),"Atlas Economic Research Foundation_2013")</f>
        <v>Atlas Economic Research Foundation_2013</v>
      </c>
      <c r="D93" s="4" t="s">
        <v>94</v>
      </c>
      <c r="E93" s="8" t="s">
        <v>46</v>
      </c>
      <c r="F93" s="6">
        <v>15000</v>
      </c>
      <c r="G93" s="4">
        <v>2013</v>
      </c>
      <c r="H93" s="4" t="s">
        <v>359</v>
      </c>
    </row>
    <row r="94" spans="1:8" ht="15.75" customHeight="1" x14ac:dyDescent="0.2">
      <c r="A94" s="4">
        <v>990</v>
      </c>
      <c r="B94" s="4" t="str">
        <f t="shared" si="0"/>
        <v>Bader Family Foundation_State Policy Network20206000</v>
      </c>
      <c r="C94" s="4" t="str">
        <f ca="1">IFERROR(__xludf.DUMMYFUNCTION("ARRAY_CONSTRAIN(ARRAYFORMULA(SINGLE(TEXTJOIN(""_"",TRUE,D94,G94))), 1, 1)"),"Bader Family Foundation_2020")</f>
        <v>Bader Family Foundation_2020</v>
      </c>
      <c r="D94" s="8" t="s">
        <v>135</v>
      </c>
      <c r="E94" s="8" t="s">
        <v>46</v>
      </c>
      <c r="F94" s="6">
        <v>6000</v>
      </c>
      <c r="G94" s="4">
        <v>2020</v>
      </c>
      <c r="H94" s="4" t="s">
        <v>361</v>
      </c>
    </row>
    <row r="95" spans="1:8" ht="15.75" customHeight="1" x14ac:dyDescent="0.2">
      <c r="A95" s="4">
        <v>990</v>
      </c>
      <c r="B95" s="4" t="str">
        <f t="shared" si="0"/>
        <v>Bader Family Foundation_State Policy Network20190</v>
      </c>
      <c r="C95" s="4" t="str">
        <f ca="1">IFERROR(__xludf.DUMMYFUNCTION("ARRAY_CONSTRAIN(ARRAYFORMULA(SINGLE(TEXTJOIN(""_"",TRUE,D95,G95))), 1, 1)"),"Bader Family Foundation_2019")</f>
        <v>Bader Family Foundation_2019</v>
      </c>
      <c r="D95" s="8" t="s">
        <v>135</v>
      </c>
      <c r="E95" s="8" t="s">
        <v>46</v>
      </c>
      <c r="F95" s="6">
        <v>0</v>
      </c>
      <c r="G95" s="4">
        <v>2019</v>
      </c>
      <c r="H95" s="4" t="s">
        <v>361</v>
      </c>
    </row>
    <row r="96" spans="1:8" ht="15.75" customHeight="1" x14ac:dyDescent="0.2">
      <c r="A96" s="4">
        <v>990</v>
      </c>
      <c r="B96" s="4" t="str">
        <f t="shared" si="0"/>
        <v>Bader Family Foundation_State Policy Network20182000</v>
      </c>
      <c r="C96" s="4" t="str">
        <f ca="1">IFERROR(__xludf.DUMMYFUNCTION("ARRAY_CONSTRAIN(ARRAYFORMULA(SINGLE(TEXTJOIN(""_"",TRUE,D96,G96))), 1, 1)"),"Bader Family Foundation_2018")</f>
        <v>Bader Family Foundation_2018</v>
      </c>
      <c r="D96" s="8" t="s">
        <v>135</v>
      </c>
      <c r="E96" s="8" t="s">
        <v>46</v>
      </c>
      <c r="F96" s="6">
        <v>2000</v>
      </c>
      <c r="G96" s="4">
        <v>2018</v>
      </c>
      <c r="H96" s="4" t="s">
        <v>361</v>
      </c>
    </row>
    <row r="97" spans="1:8" ht="15.75" customHeight="1" x14ac:dyDescent="0.2">
      <c r="A97" s="4">
        <v>990</v>
      </c>
      <c r="B97" s="4" t="str">
        <f t="shared" si="0"/>
        <v>Bailey Family Foundation_State Policy Network20212040</v>
      </c>
      <c r="C97" s="4" t="str">
        <f ca="1">IFERROR(__xludf.DUMMYFUNCTION("ARRAY_CONSTRAIN(ARRAYFORMULA(SINGLE(TEXTJOIN(""_"",TRUE,D97,G97))), 1, 1)"),"Bailey Family Foundation_2021")</f>
        <v>Bailey Family Foundation_2021</v>
      </c>
      <c r="D97" s="8" t="s">
        <v>106</v>
      </c>
      <c r="E97" s="8" t="s">
        <v>46</v>
      </c>
      <c r="F97" s="6">
        <v>2040</v>
      </c>
      <c r="G97" s="4">
        <v>2021</v>
      </c>
      <c r="H97" s="4" t="s">
        <v>361</v>
      </c>
    </row>
    <row r="98" spans="1:8" ht="15.75" customHeight="1" x14ac:dyDescent="0.2">
      <c r="A98" s="4">
        <v>990</v>
      </c>
      <c r="B98" s="4" t="str">
        <f t="shared" si="0"/>
        <v>Bailey Family Foundation_State Policy Network20202040</v>
      </c>
      <c r="C98" s="4" t="str">
        <f ca="1">IFERROR(__xludf.DUMMYFUNCTION("ARRAY_CONSTRAIN(ARRAYFORMULA(SINGLE(TEXTJOIN(""_"",TRUE,D98,G98))), 1, 1)"),"Bailey Family Foundation_2020")</f>
        <v>Bailey Family Foundation_2020</v>
      </c>
      <c r="D98" s="8" t="s">
        <v>106</v>
      </c>
      <c r="E98" s="8" t="s">
        <v>46</v>
      </c>
      <c r="F98" s="6">
        <v>2040</v>
      </c>
      <c r="G98" s="4">
        <v>2020</v>
      </c>
      <c r="H98" s="4" t="s">
        <v>361</v>
      </c>
    </row>
    <row r="99" spans="1:8" ht="15.75" customHeight="1" x14ac:dyDescent="0.2">
      <c r="A99" s="4">
        <v>990</v>
      </c>
      <c r="B99" s="4" t="str">
        <f t="shared" si="0"/>
        <v>Bailey Family Foundation_State Policy Network20191000</v>
      </c>
      <c r="C99" s="4" t="str">
        <f ca="1">IFERROR(__xludf.DUMMYFUNCTION("ARRAY_CONSTRAIN(ARRAYFORMULA(SINGLE(TEXTJOIN(""_"",TRUE,D99,G99))), 1, 1)"),"Bailey Family Foundation_2019")</f>
        <v>Bailey Family Foundation_2019</v>
      </c>
      <c r="D99" s="8" t="s">
        <v>106</v>
      </c>
      <c r="E99" s="8" t="s">
        <v>46</v>
      </c>
      <c r="F99" s="6">
        <v>1000</v>
      </c>
      <c r="G99" s="4">
        <v>2019</v>
      </c>
      <c r="H99" s="4" t="s">
        <v>361</v>
      </c>
    </row>
    <row r="100" spans="1:8" ht="15.75" customHeight="1" x14ac:dyDescent="0.2">
      <c r="A100" s="4">
        <v>990</v>
      </c>
      <c r="B100" s="4" t="str">
        <f t="shared" si="0"/>
        <v>Bailey Family Foundation_State Policy Network20181200</v>
      </c>
      <c r="C100" s="4" t="str">
        <f ca="1">IFERROR(__xludf.DUMMYFUNCTION("ARRAY_CONSTRAIN(ARRAYFORMULA(SINGLE(TEXTJOIN(""_"",TRUE,D100,G100))), 1, 1)"),"Bailey Family Foundation_2018")</f>
        <v>Bailey Family Foundation_2018</v>
      </c>
      <c r="D100" s="8" t="s">
        <v>106</v>
      </c>
      <c r="E100" s="8" t="s">
        <v>46</v>
      </c>
      <c r="F100" s="6">
        <v>1200</v>
      </c>
      <c r="G100" s="4">
        <v>2018</v>
      </c>
      <c r="H100" s="4" t="s">
        <v>361</v>
      </c>
    </row>
    <row r="101" spans="1:8" ht="15.75" customHeight="1" x14ac:dyDescent="0.2">
      <c r="A101" s="4">
        <v>990</v>
      </c>
      <c r="B101" s="4" t="str">
        <f t="shared" si="0"/>
        <v>Bailey Family Foundation_State Policy Network2017750</v>
      </c>
      <c r="C101" s="4" t="str">
        <f ca="1">IFERROR(__xludf.DUMMYFUNCTION("ARRAY_CONSTRAIN(ARRAYFORMULA(SINGLE(TEXTJOIN(""_"",TRUE,D101,G101))), 1, 1)"),"Bailey Family Foundation_2017")</f>
        <v>Bailey Family Foundation_2017</v>
      </c>
      <c r="D101" s="8" t="s">
        <v>106</v>
      </c>
      <c r="E101" s="8" t="s">
        <v>46</v>
      </c>
      <c r="F101" s="6">
        <v>750</v>
      </c>
      <c r="G101" s="4">
        <v>2017</v>
      </c>
      <c r="H101" s="4" t="s">
        <v>361</v>
      </c>
    </row>
    <row r="102" spans="1:8" ht="15.75" customHeight="1" x14ac:dyDescent="0.2">
      <c r="A102" s="4">
        <v>990</v>
      </c>
      <c r="B102" s="4" t="str">
        <f t="shared" si="0"/>
        <v>Bailey Family Foundation_State Policy Network20161700</v>
      </c>
      <c r="C102" s="4" t="str">
        <f ca="1">IFERROR(__xludf.DUMMYFUNCTION("ARRAY_CONSTRAIN(ARRAYFORMULA(SINGLE(TEXTJOIN(""_"",TRUE,D102,G102))), 1, 1)"),"Bailey Family Foundation_2016")</f>
        <v>Bailey Family Foundation_2016</v>
      </c>
      <c r="D102" s="8" t="s">
        <v>106</v>
      </c>
      <c r="E102" s="8" t="s">
        <v>46</v>
      </c>
      <c r="F102" s="6">
        <v>1700</v>
      </c>
      <c r="G102" s="4">
        <v>2016</v>
      </c>
      <c r="H102" s="4" t="s">
        <v>361</v>
      </c>
    </row>
    <row r="103" spans="1:8" ht="15.75" customHeight="1" x14ac:dyDescent="0.2">
      <c r="A103" s="4">
        <v>990</v>
      </c>
      <c r="B103" s="4" t="str">
        <f t="shared" si="0"/>
        <v>Bailey Family Foundation_State Policy Network20152150</v>
      </c>
      <c r="C103" s="4" t="str">
        <f ca="1">IFERROR(__xludf.DUMMYFUNCTION("ARRAY_CONSTRAIN(ARRAYFORMULA(SINGLE(TEXTJOIN(""_"",TRUE,D103,G103))), 1, 1)"),"Bailey Family Foundation_2015")</f>
        <v>Bailey Family Foundation_2015</v>
      </c>
      <c r="D103" s="8" t="s">
        <v>106</v>
      </c>
      <c r="E103" s="8" t="s">
        <v>46</v>
      </c>
      <c r="F103" s="6">
        <v>2150</v>
      </c>
      <c r="G103" s="4">
        <v>2015</v>
      </c>
      <c r="H103" s="4" t="s">
        <v>361</v>
      </c>
    </row>
    <row r="104" spans="1:8" ht="15.75" customHeight="1" x14ac:dyDescent="0.2">
      <c r="A104" s="4">
        <v>990</v>
      </c>
      <c r="B104" s="4" t="str">
        <f t="shared" si="0"/>
        <v>Bailey Family Foundation_State Policy Network20142750</v>
      </c>
      <c r="C104" s="4" t="str">
        <f ca="1">IFERROR(__xludf.DUMMYFUNCTION("ARRAY_CONSTRAIN(ARRAYFORMULA(SINGLE(TEXTJOIN(""_"",TRUE,D104,G104))), 1, 1)"),"Bailey Family Foundation_2014")</f>
        <v>Bailey Family Foundation_2014</v>
      </c>
      <c r="D104" s="8" t="s">
        <v>106</v>
      </c>
      <c r="E104" s="8" t="s">
        <v>46</v>
      </c>
      <c r="F104" s="6">
        <v>2750</v>
      </c>
      <c r="G104" s="4">
        <v>2014</v>
      </c>
      <c r="H104" s="4" t="s">
        <v>361</v>
      </c>
    </row>
    <row r="105" spans="1:8" ht="15.75" customHeight="1" x14ac:dyDescent="0.2">
      <c r="A105" s="4">
        <v>990</v>
      </c>
      <c r="B105" s="4" t="str">
        <f t="shared" si="0"/>
        <v>Bailey Family Foundation_State Policy Network20131750</v>
      </c>
      <c r="C105" s="4" t="str">
        <f ca="1">IFERROR(__xludf.DUMMYFUNCTION("ARRAY_CONSTRAIN(ARRAYFORMULA(SINGLE(TEXTJOIN(""_"",TRUE,D105,G105))), 1, 1)"),"Bailey Family Foundation_2013")</f>
        <v>Bailey Family Foundation_2013</v>
      </c>
      <c r="D105" s="8" t="s">
        <v>106</v>
      </c>
      <c r="E105" s="8" t="s">
        <v>46</v>
      </c>
      <c r="F105" s="6">
        <v>1750</v>
      </c>
      <c r="G105" s="4">
        <v>2013</v>
      </c>
      <c r="H105" s="4" t="s">
        <v>361</v>
      </c>
    </row>
    <row r="106" spans="1:8" ht="15.75" customHeight="1" x14ac:dyDescent="0.2">
      <c r="A106" s="4">
        <v>990</v>
      </c>
      <c r="B106" s="4" t="str">
        <f t="shared" si="0"/>
        <v>Bailey Family Foundation_State Policy Network2012600</v>
      </c>
      <c r="C106" s="4" t="str">
        <f ca="1">IFERROR(__xludf.DUMMYFUNCTION("ARRAY_CONSTRAIN(ARRAYFORMULA(SINGLE(TEXTJOIN(""_"",TRUE,D106,G106))), 1, 1)"),"Bailey Family Foundation_2012")</f>
        <v>Bailey Family Foundation_2012</v>
      </c>
      <c r="D106" s="8" t="s">
        <v>106</v>
      </c>
      <c r="E106" s="8" t="s">
        <v>46</v>
      </c>
      <c r="F106" s="6">
        <v>600</v>
      </c>
      <c r="G106" s="4">
        <v>2012</v>
      </c>
      <c r="H106" s="4" t="s">
        <v>361</v>
      </c>
    </row>
    <row r="107" spans="1:8" ht="15.75" customHeight="1" x14ac:dyDescent="0.2">
      <c r="A107" s="4" t="s">
        <v>390</v>
      </c>
      <c r="B107" s="4" t="str">
        <f t="shared" si="0"/>
        <v>Bailey Family Foundation_State Policy Network2011350</v>
      </c>
      <c r="C107" s="4" t="str">
        <f ca="1">IFERROR(__xludf.DUMMYFUNCTION("ARRAY_CONSTRAIN(ARRAYFORMULA(SINGLE(TEXTJOIN(""_"",TRUE,D107,G107))), 1, 1)"),"Bailey Family Foundation_2011")</f>
        <v>Bailey Family Foundation_2011</v>
      </c>
      <c r="D107" s="8" t="s">
        <v>106</v>
      </c>
      <c r="E107" s="8" t="s">
        <v>46</v>
      </c>
      <c r="F107" s="6">
        <v>350</v>
      </c>
      <c r="G107" s="4">
        <v>2011</v>
      </c>
      <c r="H107" s="4" t="s">
        <v>361</v>
      </c>
    </row>
    <row r="108" spans="1:8" ht="15.75" customHeight="1" x14ac:dyDescent="0.2">
      <c r="A108" s="4" t="s">
        <v>391</v>
      </c>
      <c r="B108" s="4" t="str">
        <f t="shared" si="0"/>
        <v>Bane Foundation_State Policy Network2019200</v>
      </c>
      <c r="C108" s="4" t="str">
        <f ca="1">IFERROR(__xludf.DUMMYFUNCTION("ARRAY_CONSTRAIN(ARRAYFORMULA(SINGLE(TEXTJOIN(""_"",TRUE,D108,G108))), 1, 1)"),"Bane Foundation_2019")</f>
        <v>Bane Foundation_2019</v>
      </c>
      <c r="D108" s="4" t="s">
        <v>219</v>
      </c>
      <c r="E108" s="8" t="s">
        <v>46</v>
      </c>
      <c r="F108" s="6">
        <v>200</v>
      </c>
      <c r="G108" s="4">
        <v>2019</v>
      </c>
      <c r="H108" s="4" t="s">
        <v>361</v>
      </c>
    </row>
    <row r="109" spans="1:8" ht="15.75" customHeight="1" x14ac:dyDescent="0.2">
      <c r="A109" s="4" t="s">
        <v>392</v>
      </c>
      <c r="B109" s="4" t="str">
        <f t="shared" si="0"/>
        <v>Bank of America Charitable Foundation_State Policy Network2020100</v>
      </c>
      <c r="C109" s="4" t="str">
        <f ca="1">IFERROR(__xludf.DUMMYFUNCTION("ARRAY_CONSTRAIN(ARRAYFORMULA(SINGLE(TEXTJOIN(""_"",TRUE,D109,G109))), 1, 1)"),"Bank of America Charitable Foundation_2020")</f>
        <v>Bank of America Charitable Foundation_2020</v>
      </c>
      <c r="D109" s="4" t="s">
        <v>209</v>
      </c>
      <c r="E109" s="8" t="s">
        <v>46</v>
      </c>
      <c r="F109" s="6">
        <v>100</v>
      </c>
      <c r="G109" s="4">
        <v>2020</v>
      </c>
      <c r="H109" s="4" t="s">
        <v>361</v>
      </c>
    </row>
    <row r="110" spans="1:8" ht="15.75" customHeight="1" x14ac:dyDescent="0.2">
      <c r="A110" s="4" t="s">
        <v>393</v>
      </c>
      <c r="B110" s="4" t="str">
        <f t="shared" si="0"/>
        <v>Bank of America Charitable Foundation_State Policy Network2019100</v>
      </c>
      <c r="C110" s="4" t="str">
        <f ca="1">IFERROR(__xludf.DUMMYFUNCTION("ARRAY_CONSTRAIN(ARRAYFORMULA(SINGLE(TEXTJOIN(""_"",TRUE,D110,G110))), 1, 1)"),"Bank of America Charitable Foundation_2019")</f>
        <v>Bank of America Charitable Foundation_2019</v>
      </c>
      <c r="D110" s="4" t="s">
        <v>209</v>
      </c>
      <c r="E110" s="8" t="s">
        <v>46</v>
      </c>
      <c r="F110" s="6">
        <v>100</v>
      </c>
      <c r="G110" s="4">
        <v>2019</v>
      </c>
      <c r="H110" s="4" t="s">
        <v>361</v>
      </c>
    </row>
    <row r="111" spans="1:8" ht="15.75" customHeight="1" x14ac:dyDescent="0.2">
      <c r="A111" s="4" t="s">
        <v>394</v>
      </c>
      <c r="B111" s="4" t="str">
        <f t="shared" si="0"/>
        <v>Bank of America Charitable Foundation_State Policy Network201725</v>
      </c>
      <c r="C111" s="4" t="str">
        <f ca="1">IFERROR(__xludf.DUMMYFUNCTION("ARRAY_CONSTRAIN(ARRAYFORMULA(SINGLE(TEXTJOIN(""_"",TRUE,D111,G111))), 1, 1)"),"Bank of America Charitable Foundation_2017")</f>
        <v>Bank of America Charitable Foundation_2017</v>
      </c>
      <c r="D111" s="4" t="s">
        <v>209</v>
      </c>
      <c r="E111" s="8" t="s">
        <v>46</v>
      </c>
      <c r="F111" s="6">
        <v>25</v>
      </c>
      <c r="G111" s="4">
        <v>2017</v>
      </c>
      <c r="H111" s="4" t="s">
        <v>361</v>
      </c>
    </row>
    <row r="112" spans="1:8" ht="15.75" customHeight="1" x14ac:dyDescent="0.2">
      <c r="A112" s="4" t="s">
        <v>395</v>
      </c>
      <c r="B112" s="4" t="str">
        <f t="shared" si="0"/>
        <v>Bank of America Charitable Foundation_State Policy Network201550</v>
      </c>
      <c r="C112" s="4" t="str">
        <f ca="1">IFERROR(__xludf.DUMMYFUNCTION("ARRAY_CONSTRAIN(ARRAYFORMULA(SINGLE(TEXTJOIN(""_"",TRUE,D112,G112))), 1, 1)"),"Bank of America Charitable Foundation_2015")</f>
        <v>Bank of America Charitable Foundation_2015</v>
      </c>
      <c r="D112" s="4" t="s">
        <v>209</v>
      </c>
      <c r="E112" s="8" t="s">
        <v>46</v>
      </c>
      <c r="F112" s="6">
        <v>50</v>
      </c>
      <c r="G112" s="4">
        <v>2015</v>
      </c>
      <c r="H112" s="4" t="s">
        <v>361</v>
      </c>
    </row>
    <row r="113" spans="1:8" ht="15.75" customHeight="1" x14ac:dyDescent="0.2">
      <c r="A113" s="4" t="s">
        <v>369</v>
      </c>
      <c r="B113" s="4" t="str">
        <f t="shared" si="0"/>
        <v>Barbara and Barre Seid Foundation_State Policy Network2006150000</v>
      </c>
      <c r="C113" s="4" t="str">
        <f ca="1">IFERROR(__xludf.DUMMYFUNCTION("ARRAY_CONSTRAIN(ARRAYFORMULA(SINGLE(TEXTJOIN(""_"",TRUE,D113,G113))), 1, 1)"),"Barbara and Barre Seid Foundation_2006")</f>
        <v>Barbara and Barre Seid Foundation_2006</v>
      </c>
      <c r="D113" s="4" t="s">
        <v>44</v>
      </c>
      <c r="E113" s="8" t="s">
        <v>46</v>
      </c>
      <c r="F113" s="6">
        <v>150000</v>
      </c>
      <c r="G113" s="4">
        <v>2006</v>
      </c>
      <c r="H113" s="4" t="s">
        <v>359</v>
      </c>
    </row>
    <row r="114" spans="1:8" ht="15.75" customHeight="1" x14ac:dyDescent="0.2">
      <c r="A114" s="4">
        <v>990</v>
      </c>
      <c r="B114" s="4" t="str">
        <f t="shared" si="0"/>
        <v>Barney Family Foundation_State Policy Network2019100000</v>
      </c>
      <c r="C114" s="4" t="str">
        <f ca="1">IFERROR(__xludf.DUMMYFUNCTION("ARRAY_CONSTRAIN(ARRAYFORMULA(SINGLE(TEXTJOIN(""_"",TRUE,D114,G114))), 1, 1)"),"Barney Family Foundation_2019")</f>
        <v>Barney Family Foundation_2019</v>
      </c>
      <c r="D114" s="8" t="s">
        <v>30</v>
      </c>
      <c r="E114" s="8" t="s">
        <v>46</v>
      </c>
      <c r="F114" s="6">
        <v>100000</v>
      </c>
      <c r="G114" s="4">
        <v>2019</v>
      </c>
      <c r="H114" s="4" t="s">
        <v>361</v>
      </c>
    </row>
    <row r="115" spans="1:8" ht="15.75" customHeight="1" x14ac:dyDescent="0.2">
      <c r="A115" s="4">
        <v>990</v>
      </c>
      <c r="B115" s="4" t="str">
        <f t="shared" si="0"/>
        <v>Barney Family Foundation_State Policy Network201850000</v>
      </c>
      <c r="C115" s="4" t="str">
        <f ca="1">IFERROR(__xludf.DUMMYFUNCTION("ARRAY_CONSTRAIN(ARRAYFORMULA(SINGLE(TEXTJOIN(""_"",TRUE,D115,G115))), 1, 1)"),"Barney Family Foundation_2018")</f>
        <v>Barney Family Foundation_2018</v>
      </c>
      <c r="D115" s="8" t="s">
        <v>30</v>
      </c>
      <c r="E115" s="8" t="s">
        <v>46</v>
      </c>
      <c r="F115" s="6">
        <v>50000</v>
      </c>
      <c r="G115" s="4">
        <v>2018</v>
      </c>
      <c r="H115" s="4" t="s">
        <v>361</v>
      </c>
    </row>
    <row r="116" spans="1:8" ht="15.75" customHeight="1" x14ac:dyDescent="0.2">
      <c r="A116" s="4">
        <v>990</v>
      </c>
      <c r="B116" s="4" t="str">
        <f t="shared" si="0"/>
        <v>Barney Family Foundation_State Policy Network201750000</v>
      </c>
      <c r="C116" s="4" t="str">
        <f ca="1">IFERROR(__xludf.DUMMYFUNCTION("ARRAY_CONSTRAIN(ARRAYFORMULA(SINGLE(TEXTJOIN(""_"",TRUE,D116,G116))), 1, 1)"),"Barney Family Foundation_2017")</f>
        <v>Barney Family Foundation_2017</v>
      </c>
      <c r="D116" s="8" t="s">
        <v>30</v>
      </c>
      <c r="E116" s="8" t="s">
        <v>46</v>
      </c>
      <c r="F116" s="6">
        <v>50000</v>
      </c>
      <c r="G116" s="4">
        <v>2017</v>
      </c>
      <c r="H116" s="4" t="s">
        <v>361</v>
      </c>
    </row>
    <row r="117" spans="1:8" ht="15.75" customHeight="1" x14ac:dyDescent="0.2">
      <c r="A117" s="4">
        <v>990</v>
      </c>
      <c r="B117" s="4" t="str">
        <f t="shared" si="0"/>
        <v>Barney Family Foundation_State Policy Network201650000</v>
      </c>
      <c r="C117" s="4" t="str">
        <f ca="1">IFERROR(__xludf.DUMMYFUNCTION("ARRAY_CONSTRAIN(ARRAYFORMULA(SINGLE(TEXTJOIN(""_"",TRUE,D117,G117))), 1, 1)"),"Barney Family Foundation_2016")</f>
        <v>Barney Family Foundation_2016</v>
      </c>
      <c r="D117" s="4" t="s">
        <v>30</v>
      </c>
      <c r="E117" s="8" t="s">
        <v>46</v>
      </c>
      <c r="F117" s="6">
        <v>50000</v>
      </c>
      <c r="G117" s="4">
        <v>2016</v>
      </c>
      <c r="H117" s="4" t="s">
        <v>361</v>
      </c>
    </row>
    <row r="118" spans="1:8" ht="15.75" customHeight="1" x14ac:dyDescent="0.2">
      <c r="A118" s="4">
        <v>990</v>
      </c>
      <c r="B118" s="4" t="str">
        <f t="shared" si="0"/>
        <v>Barney Family Foundation_State Policy Network201540000</v>
      </c>
      <c r="C118" s="4" t="str">
        <f ca="1">IFERROR(__xludf.DUMMYFUNCTION("ARRAY_CONSTRAIN(ARRAYFORMULA(SINGLE(TEXTJOIN(""_"",TRUE,D118,G118))), 1, 1)"),"Barney Family Foundation_2015")</f>
        <v>Barney Family Foundation_2015</v>
      </c>
      <c r="D118" s="8" t="s">
        <v>30</v>
      </c>
      <c r="E118" s="8" t="s">
        <v>46</v>
      </c>
      <c r="F118" s="6">
        <v>40000</v>
      </c>
      <c r="G118" s="4">
        <v>2015</v>
      </c>
      <c r="H118" s="4" t="s">
        <v>361</v>
      </c>
    </row>
    <row r="119" spans="1:8" ht="15.75" customHeight="1" x14ac:dyDescent="0.2">
      <c r="A119" s="4">
        <v>990</v>
      </c>
      <c r="B119" s="4" t="str">
        <f t="shared" si="0"/>
        <v>Barney Family Foundation_State Policy Network201440000</v>
      </c>
      <c r="C119" s="4" t="str">
        <f ca="1">IFERROR(__xludf.DUMMYFUNCTION("ARRAY_CONSTRAIN(ARRAYFORMULA(SINGLE(TEXTJOIN(""_"",TRUE,D119,G119))), 1, 1)"),"Barney Family Foundation_2014")</f>
        <v>Barney Family Foundation_2014</v>
      </c>
      <c r="D119" s="4" t="s">
        <v>30</v>
      </c>
      <c r="E119" s="8" t="s">
        <v>46</v>
      </c>
      <c r="F119" s="6">
        <v>40000</v>
      </c>
      <c r="G119" s="4">
        <v>2014</v>
      </c>
      <c r="H119" s="4" t="s">
        <v>361</v>
      </c>
    </row>
    <row r="120" spans="1:8" ht="15.75" customHeight="1" x14ac:dyDescent="0.2">
      <c r="A120" s="4">
        <v>990</v>
      </c>
      <c r="B120" s="4" t="str">
        <f t="shared" si="0"/>
        <v>Barney Family Foundation_State Policy Network201325000</v>
      </c>
      <c r="C120" s="4" t="str">
        <f ca="1">IFERROR(__xludf.DUMMYFUNCTION("ARRAY_CONSTRAIN(ARRAYFORMULA(SINGLE(TEXTJOIN(""_"",TRUE,D120,G120))), 1, 1)"),"Barney Family Foundation_2013")</f>
        <v>Barney Family Foundation_2013</v>
      </c>
      <c r="D120" s="8" t="s">
        <v>30</v>
      </c>
      <c r="E120" s="8" t="s">
        <v>46</v>
      </c>
      <c r="F120" s="6">
        <v>25000</v>
      </c>
      <c r="G120" s="4">
        <v>2013</v>
      </c>
      <c r="H120" s="4" t="s">
        <v>361</v>
      </c>
    </row>
    <row r="121" spans="1:8" ht="15.75" customHeight="1" x14ac:dyDescent="0.2">
      <c r="A121" s="4" t="s">
        <v>368</v>
      </c>
      <c r="B121" s="4" t="str">
        <f t="shared" si="0"/>
        <v>Barney Family Foundation_State Policy Network201210000</v>
      </c>
      <c r="C121" s="4" t="str">
        <f ca="1">IFERROR(__xludf.DUMMYFUNCTION("ARRAY_CONSTRAIN(ARRAYFORMULA(SINGLE(TEXTJOIN(""_"",TRUE,D121,G121))), 1, 1)"),"Barney Family Foundation_2012")</f>
        <v>Barney Family Foundation_2012</v>
      </c>
      <c r="D121" s="4" t="s">
        <v>30</v>
      </c>
      <c r="E121" s="8" t="s">
        <v>46</v>
      </c>
      <c r="F121" s="6">
        <v>10000</v>
      </c>
      <c r="G121" s="4">
        <v>2012</v>
      </c>
      <c r="H121" s="4" t="s">
        <v>359</v>
      </c>
    </row>
    <row r="122" spans="1:8" ht="15.75" customHeight="1" x14ac:dyDescent="0.2">
      <c r="A122" s="4" t="s">
        <v>396</v>
      </c>
      <c r="B122" s="4" t="str">
        <f t="shared" si="0"/>
        <v>Beach Foundation_State Policy Network202115000</v>
      </c>
      <c r="C122" s="4" t="str">
        <f ca="1">IFERROR(__xludf.DUMMYFUNCTION("ARRAY_CONSTRAIN(ARRAYFORMULA(SINGLE(TEXTJOIN(""_"",TRUE,D122,G122))), 1, 1)"),"Beach Foundation_2021")</f>
        <v>Beach Foundation_2021</v>
      </c>
      <c r="D122" s="4" t="s">
        <v>86</v>
      </c>
      <c r="E122" s="8" t="s">
        <v>46</v>
      </c>
      <c r="F122" s="6">
        <v>15000</v>
      </c>
      <c r="G122" s="4">
        <v>2021</v>
      </c>
      <c r="H122" s="4" t="s">
        <v>361</v>
      </c>
    </row>
    <row r="123" spans="1:8" ht="15.75" customHeight="1" x14ac:dyDescent="0.2">
      <c r="A123" s="4" t="s">
        <v>397</v>
      </c>
      <c r="B123" s="4" t="str">
        <f t="shared" si="0"/>
        <v>Beach Foundation_State Policy Network202015000</v>
      </c>
      <c r="C123" s="4" t="str">
        <f ca="1">IFERROR(__xludf.DUMMYFUNCTION("ARRAY_CONSTRAIN(ARRAYFORMULA(SINGLE(TEXTJOIN(""_"",TRUE,D123,G123))), 1, 1)"),"Beach Foundation_2020")</f>
        <v>Beach Foundation_2020</v>
      </c>
      <c r="D123" s="4" t="s">
        <v>86</v>
      </c>
      <c r="E123" s="8" t="s">
        <v>46</v>
      </c>
      <c r="F123" s="6">
        <v>15000</v>
      </c>
      <c r="G123" s="4">
        <v>2020</v>
      </c>
      <c r="H123" s="4" t="s">
        <v>361</v>
      </c>
    </row>
    <row r="124" spans="1:8" ht="15.75" customHeight="1" x14ac:dyDescent="0.2">
      <c r="A124" s="4" t="s">
        <v>398</v>
      </c>
      <c r="B124" s="4" t="str">
        <f t="shared" si="0"/>
        <v>Beth and Ravenel Curry Foundation_State Policy Network2022200000</v>
      </c>
      <c r="C124" s="4" t="str">
        <f ca="1">IFERROR(__xludf.DUMMYFUNCTION("ARRAY_CONSTRAIN(ARRAYFORMULA(SINGLE(TEXTJOIN(""_"",TRUE,D124,G124))), 1, 1)"),"Beth and Ravenel Curry Foundation_2022")</f>
        <v>Beth and Ravenel Curry Foundation_2022</v>
      </c>
      <c r="D124" s="4" t="s">
        <v>40</v>
      </c>
      <c r="E124" s="8" t="s">
        <v>46</v>
      </c>
      <c r="F124" s="6">
        <v>200000</v>
      </c>
      <c r="G124" s="4">
        <v>2022</v>
      </c>
      <c r="H124" s="4" t="s">
        <v>361</v>
      </c>
    </row>
    <row r="125" spans="1:8" ht="15.75" customHeight="1" x14ac:dyDescent="0.2">
      <c r="A125" s="4" t="s">
        <v>399</v>
      </c>
      <c r="B125" s="4" t="str">
        <f t="shared" si="0"/>
        <v>Black Family Foundation_State Policy Network20143750</v>
      </c>
      <c r="C125" s="4" t="str">
        <f ca="1">IFERROR(__xludf.DUMMYFUNCTION("ARRAY_CONSTRAIN(ARRAYFORMULA(SINGLE(TEXTJOIN(""_"",TRUE,D125,G125))), 1, 1)"),"Black Family Foundation_2014")</f>
        <v>Black Family Foundation_2014</v>
      </c>
      <c r="D125" s="4" t="s">
        <v>156</v>
      </c>
      <c r="E125" s="8" t="s">
        <v>46</v>
      </c>
      <c r="F125" s="6">
        <v>3750</v>
      </c>
      <c r="G125" s="4">
        <v>2014</v>
      </c>
      <c r="H125" s="4" t="s">
        <v>361</v>
      </c>
    </row>
    <row r="126" spans="1:8" ht="15.75" customHeight="1" x14ac:dyDescent="0.2">
      <c r="A126" s="4">
        <v>990</v>
      </c>
      <c r="B126" s="4" t="str">
        <f t="shared" si="0"/>
        <v>Bodman Foundation_State Policy Network2004500</v>
      </c>
      <c r="C126" s="4" t="str">
        <f ca="1">IFERROR(__xludf.DUMMYFUNCTION("ARRAY_CONSTRAIN(ARRAYFORMULA(SINGLE(TEXTJOIN(""_"",TRUE,D126,G126))), 1, 1)"),"Bodman Foundation_2004")</f>
        <v>Bodman Foundation_2004</v>
      </c>
      <c r="D126" s="8" t="s">
        <v>192</v>
      </c>
      <c r="E126" s="8" t="s">
        <v>46</v>
      </c>
      <c r="F126" s="6">
        <v>500</v>
      </c>
      <c r="G126" s="4">
        <v>2004</v>
      </c>
      <c r="H126" s="4" t="s">
        <v>361</v>
      </c>
    </row>
    <row r="127" spans="1:8" ht="15.75" customHeight="1" x14ac:dyDescent="0.2">
      <c r="A127" s="4">
        <v>990</v>
      </c>
      <c r="B127" s="4" t="str">
        <f t="shared" si="0"/>
        <v>Bodman Foundation_State Policy Network2002250</v>
      </c>
      <c r="C127" s="4" t="str">
        <f ca="1">IFERROR(__xludf.DUMMYFUNCTION("ARRAY_CONSTRAIN(ARRAYFORMULA(SINGLE(TEXTJOIN(""_"",TRUE,D127,G127))), 1, 1)"),"Bodman Foundation_2002")</f>
        <v>Bodman Foundation_2002</v>
      </c>
      <c r="D127" s="8" t="s">
        <v>192</v>
      </c>
      <c r="E127" s="8" t="s">
        <v>46</v>
      </c>
      <c r="F127" s="6">
        <v>250</v>
      </c>
      <c r="G127" s="4">
        <v>2002</v>
      </c>
      <c r="H127" s="4" t="s">
        <v>361</v>
      </c>
    </row>
    <row r="128" spans="1:8" ht="15.75" customHeight="1" x14ac:dyDescent="0.2">
      <c r="A128" s="4">
        <v>990</v>
      </c>
      <c r="B128" s="4" t="str">
        <f t="shared" si="0"/>
        <v>Bradley Impact Fund_State Policy Network202145050</v>
      </c>
      <c r="C128" s="4" t="str">
        <f ca="1">IFERROR(__xludf.DUMMYFUNCTION("ARRAY_CONSTRAIN(ARRAYFORMULA(SINGLE(TEXTJOIN(""_"",TRUE,D128,G128))), 1, 1)"),"Bradley Impact Fund_2021")</f>
        <v>Bradley Impact Fund_2021</v>
      </c>
      <c r="D128" s="4" t="s">
        <v>52</v>
      </c>
      <c r="E128" s="8" t="s">
        <v>46</v>
      </c>
      <c r="F128" s="6">
        <v>45050</v>
      </c>
      <c r="G128" s="4">
        <v>2021</v>
      </c>
      <c r="H128" s="4" t="s">
        <v>361</v>
      </c>
    </row>
    <row r="129" spans="1:8" ht="15.75" customHeight="1" x14ac:dyDescent="0.2">
      <c r="A129" s="4">
        <v>990</v>
      </c>
      <c r="B129" s="4" t="str">
        <f t="shared" si="0"/>
        <v>Bradley Impact Fund_State Policy Network201818000</v>
      </c>
      <c r="C129" s="4" t="str">
        <f ca="1">IFERROR(__xludf.DUMMYFUNCTION("ARRAY_CONSTRAIN(ARRAYFORMULA(SINGLE(TEXTJOIN(""_"",TRUE,D129,G129))), 1, 1)"),"Bradley Impact Fund_2018")</f>
        <v>Bradley Impact Fund_2018</v>
      </c>
      <c r="D129" s="4" t="s">
        <v>52</v>
      </c>
      <c r="E129" s="8" t="s">
        <v>46</v>
      </c>
      <c r="F129" s="6">
        <v>18000</v>
      </c>
      <c r="G129" s="4">
        <v>2018</v>
      </c>
      <c r="H129" s="4" t="s">
        <v>361</v>
      </c>
    </row>
    <row r="130" spans="1:8" ht="15.75" customHeight="1" x14ac:dyDescent="0.2">
      <c r="A130" s="4">
        <v>990</v>
      </c>
      <c r="B130" s="4" t="str">
        <f t="shared" si="0"/>
        <v>Bradley Impact Fund_State Policy Network201710000</v>
      </c>
      <c r="C130" s="4" t="str">
        <f ca="1">IFERROR(__xludf.DUMMYFUNCTION("ARRAY_CONSTRAIN(ARRAYFORMULA(SINGLE(TEXTJOIN(""_"",TRUE,D130,G130))), 1, 1)"),"Bradley Impact Fund_2017")</f>
        <v>Bradley Impact Fund_2017</v>
      </c>
      <c r="D130" s="4" t="s">
        <v>52</v>
      </c>
      <c r="E130" s="8" t="s">
        <v>46</v>
      </c>
      <c r="F130" s="6">
        <v>10000</v>
      </c>
      <c r="G130" s="4">
        <v>2017</v>
      </c>
      <c r="H130" s="4" t="s">
        <v>361</v>
      </c>
    </row>
    <row r="131" spans="1:8" ht="15.75" customHeight="1" x14ac:dyDescent="0.2">
      <c r="A131" s="4">
        <v>990</v>
      </c>
      <c r="B131" s="4" t="str">
        <f t="shared" si="0"/>
        <v>Bradley Impact Fund_State Policy Network20158000</v>
      </c>
      <c r="C131" s="4" t="str">
        <f ca="1">IFERROR(__xludf.DUMMYFUNCTION("ARRAY_CONSTRAIN(ARRAYFORMULA(SINGLE(TEXTJOIN(""_"",TRUE,D131,G131))), 1, 1)"),"Bradley Impact Fund_2015")</f>
        <v>Bradley Impact Fund_2015</v>
      </c>
      <c r="D131" s="4" t="s">
        <v>52</v>
      </c>
      <c r="E131" s="8" t="s">
        <v>46</v>
      </c>
      <c r="F131" s="6">
        <v>8000</v>
      </c>
      <c r="G131" s="4">
        <v>2015</v>
      </c>
      <c r="H131" s="4" t="s">
        <v>361</v>
      </c>
    </row>
    <row r="132" spans="1:8" ht="15.75" customHeight="1" x14ac:dyDescent="0.2">
      <c r="A132" s="4">
        <v>990</v>
      </c>
      <c r="B132" s="4" t="str">
        <f t="shared" si="0"/>
        <v>Bradley Impact Fund_State Policy Network20148000</v>
      </c>
      <c r="C132" s="4" t="str">
        <f ca="1">IFERROR(__xludf.DUMMYFUNCTION("ARRAY_CONSTRAIN(ARRAYFORMULA(SINGLE(TEXTJOIN(""_"",TRUE,D132,G132))), 1, 1)"),"Bradley Impact Fund_2014")</f>
        <v>Bradley Impact Fund_2014</v>
      </c>
      <c r="D132" s="4" t="s">
        <v>52</v>
      </c>
      <c r="E132" s="8" t="s">
        <v>46</v>
      </c>
      <c r="F132" s="6">
        <v>8000</v>
      </c>
      <c r="G132" s="4">
        <v>2014</v>
      </c>
      <c r="H132" s="4" t="s">
        <v>361</v>
      </c>
    </row>
    <row r="133" spans="1:8" ht="15.75" customHeight="1" x14ac:dyDescent="0.2">
      <c r="A133" s="4">
        <v>990</v>
      </c>
      <c r="B133" s="4" t="str">
        <f t="shared" si="0"/>
        <v>Bradley Impact Fund_State Policy Network20137500</v>
      </c>
      <c r="C133" s="4" t="str">
        <f ca="1">IFERROR(__xludf.DUMMYFUNCTION("ARRAY_CONSTRAIN(ARRAYFORMULA(SINGLE(TEXTJOIN(""_"",TRUE,D133,G133))), 1, 1)"),"Bradley Impact Fund_2013")</f>
        <v>Bradley Impact Fund_2013</v>
      </c>
      <c r="D133" s="4" t="s">
        <v>52</v>
      </c>
      <c r="E133" s="8" t="s">
        <v>46</v>
      </c>
      <c r="F133" s="6">
        <v>7500</v>
      </c>
      <c r="G133" s="4">
        <v>2013</v>
      </c>
      <c r="H133" s="4" t="s">
        <v>361</v>
      </c>
    </row>
    <row r="134" spans="1:8" ht="15.75" customHeight="1" x14ac:dyDescent="0.2">
      <c r="A134" s="4" t="s">
        <v>400</v>
      </c>
      <c r="B134" s="4" t="str">
        <f t="shared" si="0"/>
        <v>Brian &amp; Joelle Kelly Family Foundation_State Policy Network20211000</v>
      </c>
      <c r="C134" s="4" t="str">
        <f ca="1">IFERROR(__xludf.DUMMYFUNCTION("ARRAY_CONSTRAIN(ARRAYFORMULA(SINGLE(TEXTJOIN(""_"",TRUE,D134,G134))), 1, 1)"),"Brian &amp; Joelle Kelly Family Foundation_2021")</f>
        <v>Brian &amp; Joelle Kelly Family Foundation_2021</v>
      </c>
      <c r="D134" s="8" t="s">
        <v>159</v>
      </c>
      <c r="E134" s="8" t="s">
        <v>46</v>
      </c>
      <c r="F134" s="6">
        <v>1000</v>
      </c>
      <c r="G134" s="4">
        <v>2021</v>
      </c>
      <c r="H134" s="4" t="s">
        <v>361</v>
      </c>
    </row>
    <row r="135" spans="1:8" ht="15.75" customHeight="1" x14ac:dyDescent="0.2">
      <c r="A135" s="4" t="s">
        <v>401</v>
      </c>
      <c r="B135" s="4" t="str">
        <f t="shared" si="0"/>
        <v>Brian &amp; Joelle Kelly Family Foundation_State Policy Network2016600</v>
      </c>
      <c r="C135" s="4" t="str">
        <f ca="1">IFERROR(__xludf.DUMMYFUNCTION("ARRAY_CONSTRAIN(ARRAYFORMULA(SINGLE(TEXTJOIN(""_"",TRUE,D135,G135))), 1, 1)"),"Brian &amp; Joelle Kelly Family Foundation_2016")</f>
        <v>Brian &amp; Joelle Kelly Family Foundation_2016</v>
      </c>
      <c r="D135" s="8" t="s">
        <v>159</v>
      </c>
      <c r="E135" s="8" t="s">
        <v>46</v>
      </c>
      <c r="F135" s="6">
        <v>600</v>
      </c>
      <c r="G135" s="4">
        <v>2016</v>
      </c>
      <c r="H135" s="4" t="s">
        <v>361</v>
      </c>
    </row>
    <row r="136" spans="1:8" ht="15.75" customHeight="1" x14ac:dyDescent="0.2">
      <c r="A136" s="4" t="s">
        <v>402</v>
      </c>
      <c r="B136" s="4" t="str">
        <f t="shared" si="0"/>
        <v>Brian &amp; Joelle Kelly Family Foundation_State Policy Network2012700</v>
      </c>
      <c r="C136" s="4" t="str">
        <f ca="1">IFERROR(__xludf.DUMMYFUNCTION("ARRAY_CONSTRAIN(ARRAYFORMULA(SINGLE(TEXTJOIN(""_"",TRUE,D136,G136))), 1, 1)"),"Brian &amp; Joelle Kelly Family Foundation_2012")</f>
        <v>Brian &amp; Joelle Kelly Family Foundation_2012</v>
      </c>
      <c r="D136" s="8" t="s">
        <v>159</v>
      </c>
      <c r="E136" s="8" t="s">
        <v>46</v>
      </c>
      <c r="F136" s="6">
        <v>700</v>
      </c>
      <c r="G136" s="4">
        <v>2012</v>
      </c>
      <c r="H136" s="4" t="s">
        <v>361</v>
      </c>
    </row>
    <row r="137" spans="1:8" ht="15.75" customHeight="1" x14ac:dyDescent="0.2">
      <c r="A137" s="4" t="s">
        <v>403</v>
      </c>
      <c r="B137" s="4" t="str">
        <f t="shared" si="0"/>
        <v>Brian &amp; Joelle Kelly Family Foundation_State Policy Network2011600</v>
      </c>
      <c r="C137" s="4" t="str">
        <f ca="1">IFERROR(__xludf.DUMMYFUNCTION("ARRAY_CONSTRAIN(ARRAYFORMULA(SINGLE(TEXTJOIN(""_"",TRUE,D137,G137))), 1, 1)"),"Brian &amp; Joelle Kelly Family Foundation_2011")</f>
        <v>Brian &amp; Joelle Kelly Family Foundation_2011</v>
      </c>
      <c r="D137" s="8" t="s">
        <v>159</v>
      </c>
      <c r="E137" s="8" t="s">
        <v>46</v>
      </c>
      <c r="F137" s="6">
        <v>600</v>
      </c>
      <c r="G137" s="4">
        <v>2011</v>
      </c>
      <c r="H137" s="4" t="s">
        <v>361</v>
      </c>
    </row>
    <row r="138" spans="1:8" ht="15.75" customHeight="1" x14ac:dyDescent="0.2">
      <c r="A138" s="4" t="s">
        <v>404</v>
      </c>
      <c r="B138" s="4" t="str">
        <f t="shared" si="0"/>
        <v>Briggs Foundation_State Policy Network2019100</v>
      </c>
      <c r="C138" s="4" t="str">
        <f ca="1">IFERROR(__xludf.DUMMYFUNCTION("ARRAY_CONSTRAIN(ARRAYFORMULA(SINGLE(TEXTJOIN(""_"",TRUE,D138,G138))), 1, 1)"),"Briggs Foundation_2019")</f>
        <v>Briggs Foundation_2019</v>
      </c>
      <c r="D138" s="8" t="s">
        <v>229</v>
      </c>
      <c r="E138" s="8" t="s">
        <v>46</v>
      </c>
      <c r="F138" s="6">
        <v>100</v>
      </c>
      <c r="G138" s="4">
        <v>2019</v>
      </c>
      <c r="H138" s="4" t="s">
        <v>361</v>
      </c>
    </row>
    <row r="139" spans="1:8" ht="15.75" customHeight="1" x14ac:dyDescent="0.2">
      <c r="A139" s="4" t="s">
        <v>405</v>
      </c>
      <c r="B139" s="4" t="str">
        <f t="shared" si="0"/>
        <v>C &amp; N Foundation_State Policy Network2017500</v>
      </c>
      <c r="C139" s="4" t="str">
        <f ca="1">IFERROR(__xludf.DUMMYFUNCTION("ARRAY_CONSTRAIN(ARRAYFORMULA(SINGLE(TEXTJOIN(""_"",TRUE,D139,G139))), 1, 1)"),"C &amp; N Foundation_2017")</f>
        <v>C &amp; N Foundation_2017</v>
      </c>
      <c r="D139" s="8" t="s">
        <v>190</v>
      </c>
      <c r="E139" s="8" t="s">
        <v>46</v>
      </c>
      <c r="F139" s="8">
        <v>500</v>
      </c>
      <c r="G139" s="4">
        <v>2017</v>
      </c>
      <c r="H139" s="4" t="s">
        <v>361</v>
      </c>
    </row>
    <row r="140" spans="1:8" ht="15.75" customHeight="1" x14ac:dyDescent="0.2">
      <c r="A140" s="4" t="s">
        <v>406</v>
      </c>
      <c r="B140" s="4" t="str">
        <f t="shared" si="0"/>
        <v>C &amp; N Foundation_State Policy Network2016500</v>
      </c>
      <c r="C140" s="4" t="str">
        <f ca="1">IFERROR(__xludf.DUMMYFUNCTION("ARRAY_CONSTRAIN(ARRAYFORMULA(SINGLE(TEXTJOIN(""_"",TRUE,D140,G140))), 1, 1)"),"C &amp; N Foundation_2016")</f>
        <v>C &amp; N Foundation_2016</v>
      </c>
      <c r="D140" s="8" t="s">
        <v>190</v>
      </c>
      <c r="E140" s="8" t="s">
        <v>46</v>
      </c>
      <c r="F140" s="8">
        <v>500</v>
      </c>
      <c r="G140" s="4">
        <v>2016</v>
      </c>
      <c r="H140" s="4" t="s">
        <v>361</v>
      </c>
    </row>
    <row r="141" spans="1:8" ht="15.75" customHeight="1" x14ac:dyDescent="0.2">
      <c r="A141" s="4" t="s">
        <v>407</v>
      </c>
      <c r="B141" s="4" t="str">
        <f t="shared" si="0"/>
        <v>C and A Johnson Family Foundation_State Policy Network202210000</v>
      </c>
      <c r="C141" s="4" t="str">
        <f ca="1">IFERROR(__xludf.DUMMYFUNCTION("ARRAY_CONSTRAIN(ARRAYFORMULA(SINGLE(TEXTJOIN(""_"",TRUE,D141,G141))), 1, 1)"),"C and A Johnson Family Foundation_2022")</f>
        <v>C and A Johnson Family Foundation_2022</v>
      </c>
      <c r="D141" s="8" t="s">
        <v>74</v>
      </c>
      <c r="E141" s="8" t="s">
        <v>46</v>
      </c>
      <c r="F141" s="6">
        <v>10000</v>
      </c>
      <c r="G141" s="4">
        <v>2022</v>
      </c>
      <c r="H141" s="4" t="s">
        <v>361</v>
      </c>
    </row>
    <row r="142" spans="1:8" ht="15.75" customHeight="1" x14ac:dyDescent="0.2">
      <c r="A142" s="4" t="s">
        <v>408</v>
      </c>
      <c r="B142" s="4" t="str">
        <f t="shared" si="0"/>
        <v>C and A Johnson Family Foundation_State Policy Network202110000</v>
      </c>
      <c r="C142" s="4" t="str">
        <f ca="1">IFERROR(__xludf.DUMMYFUNCTION("ARRAY_CONSTRAIN(ARRAYFORMULA(SINGLE(TEXTJOIN(""_"",TRUE,D142,G142))), 1, 1)"),"C and A Johnson Family Foundation_2021")</f>
        <v>C and A Johnson Family Foundation_2021</v>
      </c>
      <c r="D142" s="8" t="s">
        <v>74</v>
      </c>
      <c r="E142" s="8" t="s">
        <v>46</v>
      </c>
      <c r="F142" s="6">
        <v>10000</v>
      </c>
      <c r="G142" s="4">
        <v>2021</v>
      </c>
      <c r="H142" s="4" t="s">
        <v>361</v>
      </c>
    </row>
    <row r="143" spans="1:8" ht="15.75" customHeight="1" x14ac:dyDescent="0.2">
      <c r="A143" s="4" t="s">
        <v>409</v>
      </c>
      <c r="B143" s="4" t="str">
        <f t="shared" si="0"/>
        <v>C and A Johnson Family Foundation_State Policy Network202010000</v>
      </c>
      <c r="C143" s="4" t="str">
        <f ca="1">IFERROR(__xludf.DUMMYFUNCTION("ARRAY_CONSTRAIN(ARRAYFORMULA(SINGLE(TEXTJOIN(""_"",TRUE,D143,G143))), 1, 1)"),"C and A Johnson Family Foundation_2020")</f>
        <v>C and A Johnson Family Foundation_2020</v>
      </c>
      <c r="D143" s="8" t="s">
        <v>74</v>
      </c>
      <c r="E143" s="8" t="s">
        <v>46</v>
      </c>
      <c r="F143" s="6">
        <v>10000</v>
      </c>
      <c r="G143" s="4">
        <v>2020</v>
      </c>
      <c r="H143" s="4" t="s">
        <v>361</v>
      </c>
    </row>
    <row r="144" spans="1:8" ht="15.75" customHeight="1" x14ac:dyDescent="0.2">
      <c r="A144" s="4" t="s">
        <v>410</v>
      </c>
      <c r="B144" s="4" t="str">
        <f t="shared" si="0"/>
        <v>C and A Johnson Family Foundation_State Policy Network201910000</v>
      </c>
      <c r="C144" s="4" t="str">
        <f ca="1">IFERROR(__xludf.DUMMYFUNCTION("ARRAY_CONSTRAIN(ARRAYFORMULA(SINGLE(TEXTJOIN(""_"",TRUE,D144,G144))), 1, 1)"),"C and A Johnson Family Foundation_2019")</f>
        <v>C and A Johnson Family Foundation_2019</v>
      </c>
      <c r="D144" s="8" t="s">
        <v>74</v>
      </c>
      <c r="E144" s="8" t="s">
        <v>46</v>
      </c>
      <c r="F144" s="6">
        <v>10000</v>
      </c>
      <c r="G144" s="4">
        <v>2019</v>
      </c>
      <c r="H144" s="4" t="s">
        <v>361</v>
      </c>
    </row>
    <row r="145" spans="1:8" ht="15.75" customHeight="1" x14ac:dyDescent="0.2">
      <c r="A145" s="4" t="s">
        <v>411</v>
      </c>
      <c r="B145" s="4" t="str">
        <f t="shared" si="0"/>
        <v>C and A Johnson Family Foundation_State Policy Network201810000</v>
      </c>
      <c r="C145" s="4" t="str">
        <f ca="1">IFERROR(__xludf.DUMMYFUNCTION("ARRAY_CONSTRAIN(ARRAYFORMULA(SINGLE(TEXTJOIN(""_"",TRUE,D145,G145))), 1, 1)"),"C and A Johnson Family Foundation_2018")</f>
        <v>C and A Johnson Family Foundation_2018</v>
      </c>
      <c r="D145" s="8" t="s">
        <v>74</v>
      </c>
      <c r="E145" s="8" t="s">
        <v>46</v>
      </c>
      <c r="F145" s="6">
        <v>10000</v>
      </c>
      <c r="G145" s="4">
        <v>2018</v>
      </c>
      <c r="H145" s="4" t="s">
        <v>361</v>
      </c>
    </row>
    <row r="146" spans="1:8" ht="15.75" customHeight="1" x14ac:dyDescent="0.2">
      <c r="A146" s="4" t="s">
        <v>412</v>
      </c>
      <c r="B146" s="4" t="str">
        <f t="shared" si="0"/>
        <v>Caridad Corporation_State Policy Network2021500</v>
      </c>
      <c r="C146" s="4" t="str">
        <f ca="1">IFERROR(__xludf.DUMMYFUNCTION("ARRAY_CONSTRAIN(ARRAYFORMULA(SINGLE(TEXTJOIN(""_"",TRUE,D146,G146))), 1, 1)"),"Caridad Corporation_2021")</f>
        <v>Caridad Corporation_2021</v>
      </c>
      <c r="D146" s="8" t="s">
        <v>203</v>
      </c>
      <c r="E146" s="8" t="s">
        <v>46</v>
      </c>
      <c r="F146" s="6">
        <v>500</v>
      </c>
      <c r="G146" s="4">
        <v>2021</v>
      </c>
      <c r="H146" s="4" t="s">
        <v>361</v>
      </c>
    </row>
    <row r="147" spans="1:8" ht="15.75" customHeight="1" x14ac:dyDescent="0.2">
      <c r="A147" s="4" t="s">
        <v>368</v>
      </c>
      <c r="B147" s="4" t="str">
        <f t="shared" si="0"/>
        <v>Castle Rock Foundation_State Policy Network201020000</v>
      </c>
      <c r="C147" s="4" t="str">
        <f ca="1">IFERROR(__xludf.DUMMYFUNCTION("ARRAY_CONSTRAIN(ARRAYFORMULA(SINGLE(TEXTJOIN(""_"",TRUE,D147,G147))), 1, 1)"),"Castle Rock Foundation_2010")</f>
        <v>Castle Rock Foundation_2010</v>
      </c>
      <c r="D147" s="4" t="s">
        <v>45</v>
      </c>
      <c r="E147" s="8" t="s">
        <v>46</v>
      </c>
      <c r="F147" s="6">
        <v>20000</v>
      </c>
      <c r="G147" s="4">
        <v>2010</v>
      </c>
      <c r="H147" s="4" t="s">
        <v>359</v>
      </c>
    </row>
    <row r="148" spans="1:8" ht="15.75" customHeight="1" x14ac:dyDescent="0.2">
      <c r="A148" s="4" t="s">
        <v>368</v>
      </c>
      <c r="B148" s="4" t="str">
        <f t="shared" si="0"/>
        <v>Castle Rock Foundation_State Policy Network200935000</v>
      </c>
      <c r="C148" s="4" t="str">
        <f ca="1">IFERROR(__xludf.DUMMYFUNCTION("ARRAY_CONSTRAIN(ARRAYFORMULA(SINGLE(TEXTJOIN(""_"",TRUE,D148,G148))), 1, 1)"),"Castle Rock Foundation_2009")</f>
        <v>Castle Rock Foundation_2009</v>
      </c>
      <c r="D148" s="4" t="s">
        <v>45</v>
      </c>
      <c r="E148" s="8" t="s">
        <v>46</v>
      </c>
      <c r="F148" s="6">
        <v>35000</v>
      </c>
      <c r="G148" s="4">
        <v>2009</v>
      </c>
      <c r="H148" s="4" t="s">
        <v>359</v>
      </c>
    </row>
    <row r="149" spans="1:8" ht="15.75" customHeight="1" x14ac:dyDescent="0.2">
      <c r="A149" s="4" t="s">
        <v>369</v>
      </c>
      <c r="B149" s="4" t="str">
        <f t="shared" si="0"/>
        <v>Castle Rock Foundation_State Policy Network200730000</v>
      </c>
      <c r="C149" s="4" t="str">
        <f ca="1">IFERROR(__xludf.DUMMYFUNCTION("ARRAY_CONSTRAIN(ARRAYFORMULA(SINGLE(TEXTJOIN(""_"",TRUE,D149,G149))), 1, 1)"),"Castle Rock Foundation_2007")</f>
        <v>Castle Rock Foundation_2007</v>
      </c>
      <c r="D149" s="4" t="s">
        <v>45</v>
      </c>
      <c r="E149" s="8" t="s">
        <v>46</v>
      </c>
      <c r="F149" s="6">
        <v>30000</v>
      </c>
      <c r="G149" s="4">
        <v>2007</v>
      </c>
      <c r="H149" s="4" t="s">
        <v>359</v>
      </c>
    </row>
    <row r="150" spans="1:8" ht="15.75" customHeight="1" x14ac:dyDescent="0.2">
      <c r="A150" s="4" t="s">
        <v>369</v>
      </c>
      <c r="B150" s="4" t="str">
        <f t="shared" si="0"/>
        <v>Castle Rock Foundation_State Policy Network200525000</v>
      </c>
      <c r="C150" s="4" t="str">
        <f ca="1">IFERROR(__xludf.DUMMYFUNCTION("ARRAY_CONSTRAIN(ARRAYFORMULA(SINGLE(TEXTJOIN(""_"",TRUE,D150,G150))), 1, 1)"),"Castle Rock Foundation_2005")</f>
        <v>Castle Rock Foundation_2005</v>
      </c>
      <c r="D150" s="4" t="s">
        <v>45</v>
      </c>
      <c r="E150" s="8" t="s">
        <v>46</v>
      </c>
      <c r="F150" s="6">
        <v>25000</v>
      </c>
      <c r="G150" s="4">
        <v>2005</v>
      </c>
      <c r="H150" s="4" t="s">
        <v>359</v>
      </c>
    </row>
    <row r="151" spans="1:8" ht="15.75" customHeight="1" x14ac:dyDescent="0.2">
      <c r="A151" s="4" t="s">
        <v>369</v>
      </c>
      <c r="B151" s="4" t="str">
        <f t="shared" si="0"/>
        <v>Castle Rock Foundation_State Policy Network200225000</v>
      </c>
      <c r="C151" s="4" t="str">
        <f ca="1">IFERROR(__xludf.DUMMYFUNCTION("ARRAY_CONSTRAIN(ARRAYFORMULA(SINGLE(TEXTJOIN(""_"",TRUE,D151,G151))), 1, 1)"),"Castle Rock Foundation_2002")</f>
        <v>Castle Rock Foundation_2002</v>
      </c>
      <c r="D151" s="4" t="s">
        <v>45</v>
      </c>
      <c r="E151" s="8" t="s">
        <v>46</v>
      </c>
      <c r="F151" s="6">
        <v>25000</v>
      </c>
      <c r="G151" s="4">
        <v>2002</v>
      </c>
      <c r="H151" s="4" t="s">
        <v>359</v>
      </c>
    </row>
    <row r="152" spans="1:8" ht="15.75" customHeight="1" x14ac:dyDescent="0.2">
      <c r="A152" s="4">
        <v>990</v>
      </c>
      <c r="B152" s="4" t="str">
        <f t="shared" si="0"/>
        <v>Catherine V and Martin Hofmann Foundation_State Policy Network2021300</v>
      </c>
      <c r="C152" s="4" t="str">
        <f ca="1">IFERROR(__xludf.DUMMYFUNCTION("ARRAY_CONSTRAIN(ARRAYFORMULA(SINGLE(TEXTJOIN(""_"",TRUE,D152,G152))), 1, 1)"),"Catherine V and Martin Hofmann Foundation_2021")</f>
        <v>Catherine V and Martin Hofmann Foundation_2021</v>
      </c>
      <c r="D152" s="8" t="s">
        <v>162</v>
      </c>
      <c r="E152" s="8" t="s">
        <v>46</v>
      </c>
      <c r="F152" s="6">
        <v>300</v>
      </c>
      <c r="G152" s="4">
        <v>2021</v>
      </c>
      <c r="H152" s="4" t="s">
        <v>361</v>
      </c>
    </row>
    <row r="153" spans="1:8" ht="15.75" customHeight="1" x14ac:dyDescent="0.2">
      <c r="A153" s="4">
        <v>990</v>
      </c>
      <c r="B153" s="4" t="str">
        <f t="shared" si="0"/>
        <v>Catherine V and Martin Hofmann Foundation_State Policy Network2020300</v>
      </c>
      <c r="C153" s="4" t="str">
        <f ca="1">IFERROR(__xludf.DUMMYFUNCTION("ARRAY_CONSTRAIN(ARRAYFORMULA(SINGLE(TEXTJOIN(""_"",TRUE,D153,G153))), 1, 1)"),"Catherine V and Martin Hofmann Foundation_2020")</f>
        <v>Catherine V and Martin Hofmann Foundation_2020</v>
      </c>
      <c r="D153" s="8" t="s">
        <v>162</v>
      </c>
      <c r="E153" s="8" t="s">
        <v>46</v>
      </c>
      <c r="F153" s="6">
        <v>300</v>
      </c>
      <c r="G153" s="4">
        <v>2020</v>
      </c>
      <c r="H153" s="4" t="s">
        <v>361</v>
      </c>
    </row>
    <row r="154" spans="1:8" ht="15.75" customHeight="1" x14ac:dyDescent="0.2">
      <c r="A154" s="4">
        <v>990</v>
      </c>
      <c r="B154" s="4" t="str">
        <f t="shared" si="0"/>
        <v>Catherine V and Martin Hofmann Foundation_State Policy Network2019300</v>
      </c>
      <c r="C154" s="4" t="str">
        <f ca="1">IFERROR(__xludf.DUMMYFUNCTION("ARRAY_CONSTRAIN(ARRAYFORMULA(SINGLE(TEXTJOIN(""_"",TRUE,D154,G154))), 1, 1)"),"Catherine V and Martin Hofmann Foundation_2019")</f>
        <v>Catherine V and Martin Hofmann Foundation_2019</v>
      </c>
      <c r="D154" s="8" t="s">
        <v>162</v>
      </c>
      <c r="E154" s="8" t="s">
        <v>46</v>
      </c>
      <c r="F154" s="6">
        <v>300</v>
      </c>
      <c r="G154" s="4">
        <v>2019</v>
      </c>
      <c r="H154" s="4" t="s">
        <v>361</v>
      </c>
    </row>
    <row r="155" spans="1:8" ht="15.75" customHeight="1" x14ac:dyDescent="0.2">
      <c r="A155" s="4">
        <v>990</v>
      </c>
      <c r="B155" s="4" t="str">
        <f t="shared" si="0"/>
        <v>Catherine V and Martin Hofmann Foundation_State Policy Network2018300</v>
      </c>
      <c r="C155" s="4" t="str">
        <f ca="1">IFERROR(__xludf.DUMMYFUNCTION("ARRAY_CONSTRAIN(ARRAYFORMULA(SINGLE(TEXTJOIN(""_"",TRUE,D155,G155))), 1, 1)"),"Catherine V and Martin Hofmann Foundation_2018")</f>
        <v>Catherine V and Martin Hofmann Foundation_2018</v>
      </c>
      <c r="D155" s="8" t="s">
        <v>162</v>
      </c>
      <c r="E155" s="8" t="s">
        <v>46</v>
      </c>
      <c r="F155" s="6">
        <v>300</v>
      </c>
      <c r="G155" s="4">
        <v>2018</v>
      </c>
      <c r="H155" s="4" t="s">
        <v>361</v>
      </c>
    </row>
    <row r="156" spans="1:8" ht="15.75" customHeight="1" x14ac:dyDescent="0.2">
      <c r="A156" s="4">
        <v>990</v>
      </c>
      <c r="B156" s="4" t="str">
        <f t="shared" si="0"/>
        <v>Catherine V and Martin Hofmann Foundation_State Policy Network2017275</v>
      </c>
      <c r="C156" s="4" t="str">
        <f ca="1">IFERROR(__xludf.DUMMYFUNCTION("ARRAY_CONSTRAIN(ARRAYFORMULA(SINGLE(TEXTJOIN(""_"",TRUE,D156,G156))), 1, 1)"),"Catherine V and Martin Hofmann Foundation_2017")</f>
        <v>Catherine V and Martin Hofmann Foundation_2017</v>
      </c>
      <c r="D156" s="8" t="s">
        <v>162</v>
      </c>
      <c r="E156" s="8" t="s">
        <v>46</v>
      </c>
      <c r="F156" s="6">
        <v>275</v>
      </c>
      <c r="G156" s="4">
        <v>2017</v>
      </c>
      <c r="H156" s="4" t="s">
        <v>361</v>
      </c>
    </row>
    <row r="157" spans="1:8" ht="15.75" customHeight="1" x14ac:dyDescent="0.2">
      <c r="A157" s="4">
        <v>990</v>
      </c>
      <c r="B157" s="4" t="str">
        <f t="shared" si="0"/>
        <v>Catherine V and Martin Hofmann Foundation_State Policy Network2016250</v>
      </c>
      <c r="C157" s="4" t="str">
        <f ca="1">IFERROR(__xludf.DUMMYFUNCTION("ARRAY_CONSTRAIN(ARRAYFORMULA(SINGLE(TEXTJOIN(""_"",TRUE,D157,G157))), 1, 1)"),"Catherine V and Martin Hofmann Foundation_2016")</f>
        <v>Catherine V and Martin Hofmann Foundation_2016</v>
      </c>
      <c r="D157" s="8" t="s">
        <v>162</v>
      </c>
      <c r="E157" s="8" t="s">
        <v>46</v>
      </c>
      <c r="F157" s="6">
        <v>250</v>
      </c>
      <c r="G157" s="4">
        <v>2016</v>
      </c>
      <c r="H157" s="4" t="s">
        <v>361</v>
      </c>
    </row>
    <row r="158" spans="1:8" ht="15.75" customHeight="1" x14ac:dyDescent="0.2">
      <c r="A158" s="4">
        <v>990</v>
      </c>
      <c r="B158" s="4" t="str">
        <f t="shared" si="0"/>
        <v>Catherine V and Martin Hofmann Foundation_State Policy Network2015275</v>
      </c>
      <c r="C158" s="4" t="str">
        <f ca="1">IFERROR(__xludf.DUMMYFUNCTION("ARRAY_CONSTRAIN(ARRAYFORMULA(SINGLE(TEXTJOIN(""_"",TRUE,D158,G158))), 1, 1)"),"Catherine V and Martin Hofmann Foundation_2015")</f>
        <v>Catherine V and Martin Hofmann Foundation_2015</v>
      </c>
      <c r="D158" s="8" t="s">
        <v>162</v>
      </c>
      <c r="E158" s="8" t="s">
        <v>46</v>
      </c>
      <c r="F158" s="6">
        <v>275</v>
      </c>
      <c r="G158" s="4">
        <v>2015</v>
      </c>
      <c r="H158" s="4" t="s">
        <v>361</v>
      </c>
    </row>
    <row r="159" spans="1:8" ht="15.75" customHeight="1" x14ac:dyDescent="0.2">
      <c r="A159" s="4">
        <v>990</v>
      </c>
      <c r="B159" s="4" t="str">
        <f t="shared" si="0"/>
        <v>Catherine V and Martin Hofmann Foundation_State Policy Network2014250</v>
      </c>
      <c r="C159" s="4" t="str">
        <f ca="1">IFERROR(__xludf.DUMMYFUNCTION("ARRAY_CONSTRAIN(ARRAYFORMULA(SINGLE(TEXTJOIN(""_"",TRUE,D159,G159))), 1, 1)"),"Catherine V and Martin Hofmann Foundation_2014")</f>
        <v>Catherine V and Martin Hofmann Foundation_2014</v>
      </c>
      <c r="D159" s="8" t="s">
        <v>162</v>
      </c>
      <c r="E159" s="8" t="s">
        <v>46</v>
      </c>
      <c r="F159" s="6">
        <v>250</v>
      </c>
      <c r="G159" s="4">
        <v>2014</v>
      </c>
      <c r="H159" s="4" t="s">
        <v>361</v>
      </c>
    </row>
    <row r="160" spans="1:8" ht="15.75" customHeight="1" x14ac:dyDescent="0.2">
      <c r="A160" s="4">
        <v>990</v>
      </c>
      <c r="B160" s="4" t="str">
        <f t="shared" si="0"/>
        <v>Catherine V and Martin Hofmann Foundation_State Policy Network2013250</v>
      </c>
      <c r="C160" s="4" t="str">
        <f ca="1">IFERROR(__xludf.DUMMYFUNCTION("ARRAY_CONSTRAIN(ARRAYFORMULA(SINGLE(TEXTJOIN(""_"",TRUE,D160,G160))), 1, 1)"),"Catherine V and Martin Hofmann Foundation_2013")</f>
        <v>Catherine V and Martin Hofmann Foundation_2013</v>
      </c>
      <c r="D160" s="8" t="s">
        <v>162</v>
      </c>
      <c r="E160" s="8" t="s">
        <v>46</v>
      </c>
      <c r="F160" s="6">
        <v>250</v>
      </c>
      <c r="G160" s="4">
        <v>2013</v>
      </c>
      <c r="H160" s="4" t="s">
        <v>361</v>
      </c>
    </row>
    <row r="161" spans="1:8" ht="15.75" customHeight="1" x14ac:dyDescent="0.2">
      <c r="A161" s="4">
        <v>990</v>
      </c>
      <c r="B161" s="4" t="str">
        <f t="shared" si="0"/>
        <v>Center for Growth and Opportunity_State Policy Network201815000</v>
      </c>
      <c r="C161" s="4" t="str">
        <f ca="1">IFERROR(__xludf.DUMMYFUNCTION("ARRAY_CONSTRAIN(ARRAYFORMULA(SINGLE(TEXTJOIN(""_"",TRUE,D161,G161))), 1, 1)"),"Center for Growth and Opportunity_2018")</f>
        <v>Center for Growth and Opportunity_2018</v>
      </c>
      <c r="D161" s="8" t="s">
        <v>112</v>
      </c>
      <c r="E161" s="8" t="s">
        <v>46</v>
      </c>
      <c r="F161" s="6">
        <v>15000</v>
      </c>
      <c r="G161" s="4">
        <v>2018</v>
      </c>
      <c r="H161" s="4" t="s">
        <v>361</v>
      </c>
    </row>
    <row r="162" spans="1:8" ht="15.75" customHeight="1" x14ac:dyDescent="0.2">
      <c r="A162" s="4" t="s">
        <v>413</v>
      </c>
      <c r="B162" s="4" t="str">
        <f t="shared" si="0"/>
        <v>Center for Independent Employees_State Policy Network20151000</v>
      </c>
      <c r="C162" s="4" t="str">
        <f ca="1">IFERROR(__xludf.DUMMYFUNCTION("ARRAY_CONSTRAIN(ARRAYFORMULA(SINGLE(TEXTJOIN(""_"",TRUE,D162,G162))), 1, 1)"),"Center for Independent Employees_2015")</f>
        <v>Center for Independent Employees_2015</v>
      </c>
      <c r="D162" s="8" t="s">
        <v>189</v>
      </c>
      <c r="E162" s="8" t="s">
        <v>46</v>
      </c>
      <c r="F162" s="6">
        <v>1000</v>
      </c>
      <c r="G162" s="4">
        <v>2015</v>
      </c>
      <c r="H162" s="4" t="s">
        <v>361</v>
      </c>
    </row>
    <row r="163" spans="1:8" ht="15.75" customHeight="1" x14ac:dyDescent="0.2">
      <c r="A163" s="4" t="s">
        <v>414</v>
      </c>
      <c r="B163" s="4" t="str">
        <f t="shared" si="0"/>
        <v>Challenge Foundation_State Policy Network2021150000</v>
      </c>
      <c r="C163" s="4" t="str">
        <f ca="1">IFERROR(__xludf.DUMMYFUNCTION("ARRAY_CONSTRAIN(ARRAYFORMULA(SINGLE(TEXTJOIN(""_"",TRUE,D163,G163))), 1, 1)"),"Challenge Foundation_2021")</f>
        <v>Challenge Foundation_2021</v>
      </c>
      <c r="D163" s="8" t="s">
        <v>32</v>
      </c>
      <c r="E163" s="8" t="s">
        <v>46</v>
      </c>
      <c r="F163" s="6">
        <v>150000</v>
      </c>
      <c r="G163" s="4">
        <v>2021</v>
      </c>
      <c r="H163" s="4" t="s">
        <v>361</v>
      </c>
    </row>
    <row r="164" spans="1:8" ht="15.75" customHeight="1" x14ac:dyDescent="0.2">
      <c r="A164" s="4" t="s">
        <v>415</v>
      </c>
      <c r="B164" s="4" t="str">
        <f t="shared" si="0"/>
        <v>Challenge Foundation_State Policy Network202050000</v>
      </c>
      <c r="C164" s="4" t="str">
        <f ca="1">IFERROR(__xludf.DUMMYFUNCTION("ARRAY_CONSTRAIN(ARRAYFORMULA(SINGLE(TEXTJOIN(""_"",TRUE,D164,G164))), 1, 1)"),"Challenge Foundation_2020")</f>
        <v>Challenge Foundation_2020</v>
      </c>
      <c r="D164" s="8" t="s">
        <v>32</v>
      </c>
      <c r="E164" s="8" t="s">
        <v>46</v>
      </c>
      <c r="F164" s="6">
        <v>50000</v>
      </c>
      <c r="G164" s="4">
        <v>2020</v>
      </c>
      <c r="H164" s="4" t="s">
        <v>361</v>
      </c>
    </row>
    <row r="165" spans="1:8" ht="15.75" customHeight="1" x14ac:dyDescent="0.2">
      <c r="A165" s="4" t="s">
        <v>416</v>
      </c>
      <c r="B165" s="4" t="str">
        <f t="shared" si="0"/>
        <v>Challenge Foundation_State Policy Network201950000</v>
      </c>
      <c r="C165" s="4" t="str">
        <f ca="1">IFERROR(__xludf.DUMMYFUNCTION("ARRAY_CONSTRAIN(ARRAYFORMULA(SINGLE(TEXTJOIN(""_"",TRUE,D165,G165))), 1, 1)"),"Challenge Foundation_2019")</f>
        <v>Challenge Foundation_2019</v>
      </c>
      <c r="D165" s="8" t="s">
        <v>32</v>
      </c>
      <c r="E165" s="8" t="s">
        <v>46</v>
      </c>
      <c r="F165" s="6">
        <v>50000</v>
      </c>
      <c r="G165" s="4">
        <v>2019</v>
      </c>
      <c r="H165" s="4" t="s">
        <v>361</v>
      </c>
    </row>
    <row r="166" spans="1:8" ht="15.75" customHeight="1" x14ac:dyDescent="0.2">
      <c r="A166" s="4" t="s">
        <v>417</v>
      </c>
      <c r="B166" s="4" t="str">
        <f t="shared" si="0"/>
        <v>Challenge Foundation_State Policy Network2018100000</v>
      </c>
      <c r="C166" s="4" t="str">
        <f ca="1">IFERROR(__xludf.DUMMYFUNCTION("ARRAY_CONSTRAIN(ARRAYFORMULA(SINGLE(TEXTJOIN(""_"",TRUE,D166,G166))), 1, 1)"),"Challenge Foundation_2018")</f>
        <v>Challenge Foundation_2018</v>
      </c>
      <c r="D166" s="8" t="s">
        <v>32</v>
      </c>
      <c r="E166" s="8" t="s">
        <v>46</v>
      </c>
      <c r="F166" s="6">
        <v>100000</v>
      </c>
      <c r="G166" s="4">
        <v>2018</v>
      </c>
      <c r="H166" s="4" t="s">
        <v>361</v>
      </c>
    </row>
    <row r="167" spans="1:8" ht="15.75" customHeight="1" x14ac:dyDescent="0.2">
      <c r="A167" s="4">
        <v>990</v>
      </c>
      <c r="B167" s="4" t="str">
        <f t="shared" si="0"/>
        <v>Charles G Koch Charitable Foundation_State Policy Network20214827</v>
      </c>
      <c r="C167" s="4" t="str">
        <f ca="1">IFERROR(__xludf.DUMMYFUNCTION("ARRAY_CONSTRAIN(ARRAYFORMULA(SINGLE(TEXTJOIN(""_"",TRUE,D167,G167))), 1, 1)"),"Charles G Koch Charitable Foundation_2021")</f>
        <v>Charles G Koch Charitable Foundation_2021</v>
      </c>
      <c r="D167" s="4" t="s">
        <v>59</v>
      </c>
      <c r="E167" s="8" t="s">
        <v>46</v>
      </c>
      <c r="F167" s="6">
        <v>4827</v>
      </c>
      <c r="G167" s="4">
        <v>2021</v>
      </c>
      <c r="H167" s="4" t="s">
        <v>361</v>
      </c>
    </row>
    <row r="168" spans="1:8" ht="15.75" customHeight="1" x14ac:dyDescent="0.2">
      <c r="A168" s="4">
        <v>990</v>
      </c>
      <c r="B168" s="4" t="str">
        <f t="shared" si="0"/>
        <v>Charles G Koch Charitable Foundation_State Policy Network20204827</v>
      </c>
      <c r="C168" s="4" t="str">
        <f ca="1">IFERROR(__xludf.DUMMYFUNCTION("ARRAY_CONSTRAIN(ARRAYFORMULA(SINGLE(TEXTJOIN(""_"",TRUE,D168,G168))), 1, 1)"),"Charles G Koch Charitable Foundation_2020")</f>
        <v>Charles G Koch Charitable Foundation_2020</v>
      </c>
      <c r="D168" s="4" t="s">
        <v>59</v>
      </c>
      <c r="E168" s="8" t="s">
        <v>46</v>
      </c>
      <c r="F168" s="6">
        <v>4827</v>
      </c>
      <c r="G168" s="4">
        <v>2020</v>
      </c>
      <c r="H168" s="4" t="s">
        <v>361</v>
      </c>
    </row>
    <row r="169" spans="1:8" ht="15.75" customHeight="1" x14ac:dyDescent="0.2">
      <c r="A169" s="4">
        <v>990</v>
      </c>
      <c r="B169" s="4" t="str">
        <f t="shared" si="0"/>
        <v>Charles G Koch Charitable Foundation_State Policy Network20193850</v>
      </c>
      <c r="C169" s="4" t="str">
        <f ca="1">IFERROR(__xludf.DUMMYFUNCTION("ARRAY_CONSTRAIN(ARRAYFORMULA(SINGLE(TEXTJOIN(""_"",TRUE,D169,G169))), 1, 1)"),"Charles G Koch Charitable Foundation_2019")</f>
        <v>Charles G Koch Charitable Foundation_2019</v>
      </c>
      <c r="D169" s="4" t="s">
        <v>59</v>
      </c>
      <c r="E169" s="8" t="s">
        <v>46</v>
      </c>
      <c r="F169" s="6">
        <v>3850</v>
      </c>
      <c r="G169" s="4">
        <v>2019</v>
      </c>
      <c r="H169" s="4" t="s">
        <v>361</v>
      </c>
    </row>
    <row r="170" spans="1:8" ht="15.75" customHeight="1" x14ac:dyDescent="0.2">
      <c r="A170" s="4">
        <v>990</v>
      </c>
      <c r="B170" s="4" t="str">
        <f t="shared" si="0"/>
        <v>Charles G Koch Charitable Foundation_State Policy Network20176626</v>
      </c>
      <c r="C170" s="4" t="str">
        <f ca="1">IFERROR(__xludf.DUMMYFUNCTION("ARRAY_CONSTRAIN(ARRAYFORMULA(SINGLE(TEXTJOIN(""_"",TRUE,D170,G170))), 1, 1)"),"Charles G Koch Charitable Foundation_2017")</f>
        <v>Charles G Koch Charitable Foundation_2017</v>
      </c>
      <c r="D170" s="4" t="s">
        <v>59</v>
      </c>
      <c r="E170" s="8" t="s">
        <v>46</v>
      </c>
      <c r="F170" s="6">
        <v>6626</v>
      </c>
      <c r="G170" s="4">
        <v>2017</v>
      </c>
      <c r="H170" s="4" t="s">
        <v>361</v>
      </c>
    </row>
    <row r="171" spans="1:8" ht="15.75" customHeight="1" x14ac:dyDescent="0.2">
      <c r="A171" s="4">
        <v>990</v>
      </c>
      <c r="B171" s="4" t="str">
        <f t="shared" si="0"/>
        <v>Charles G Koch Charitable Foundation_State Policy Network201613564</v>
      </c>
      <c r="C171" s="4" t="str">
        <f ca="1">IFERROR(__xludf.DUMMYFUNCTION("ARRAY_CONSTRAIN(ARRAYFORMULA(SINGLE(TEXTJOIN(""_"",TRUE,D171,G171))), 1, 1)"),"Charles G Koch Charitable Foundation_2016")</f>
        <v>Charles G Koch Charitable Foundation_2016</v>
      </c>
      <c r="D171" s="4" t="s">
        <v>59</v>
      </c>
      <c r="E171" s="8" t="s">
        <v>46</v>
      </c>
      <c r="F171" s="6">
        <v>13564</v>
      </c>
      <c r="G171" s="4">
        <v>2016</v>
      </c>
      <c r="H171" s="4" t="s">
        <v>361</v>
      </c>
    </row>
    <row r="172" spans="1:8" ht="15.75" customHeight="1" x14ac:dyDescent="0.2">
      <c r="A172" s="4">
        <v>990</v>
      </c>
      <c r="B172" s="4" t="str">
        <f t="shared" si="0"/>
        <v>Charles G Koch Charitable Foundation_State Policy Network201511738</v>
      </c>
      <c r="C172" s="4" t="str">
        <f ca="1">IFERROR(__xludf.DUMMYFUNCTION("ARRAY_CONSTRAIN(ARRAYFORMULA(SINGLE(TEXTJOIN(""_"",TRUE,D172,G172))), 1, 1)"),"Charles G Koch Charitable Foundation_2015")</f>
        <v>Charles G Koch Charitable Foundation_2015</v>
      </c>
      <c r="D172" s="4" t="s">
        <v>59</v>
      </c>
      <c r="E172" s="8" t="s">
        <v>46</v>
      </c>
      <c r="F172" s="6">
        <v>11738</v>
      </c>
      <c r="G172" s="4">
        <v>2015</v>
      </c>
      <c r="H172" s="4" t="s">
        <v>361</v>
      </c>
    </row>
    <row r="173" spans="1:8" ht="15.75" customHeight="1" x14ac:dyDescent="0.2">
      <c r="A173" s="4" t="s">
        <v>368</v>
      </c>
      <c r="B173" s="4" t="str">
        <f t="shared" si="0"/>
        <v>Charles G Koch Charitable Foundation_State Policy Network201419200</v>
      </c>
      <c r="C173" s="4" t="str">
        <f ca="1">IFERROR(__xludf.DUMMYFUNCTION("ARRAY_CONSTRAIN(ARRAYFORMULA(SINGLE(TEXTJOIN(""_"",TRUE,D173,G173))), 1, 1)"),"Charles G Koch Charitable Foundation_2014")</f>
        <v>Charles G Koch Charitable Foundation_2014</v>
      </c>
      <c r="D173" s="4" t="s">
        <v>59</v>
      </c>
      <c r="E173" s="8" t="s">
        <v>46</v>
      </c>
      <c r="F173" s="6">
        <v>19200</v>
      </c>
      <c r="G173" s="4">
        <v>2014</v>
      </c>
      <c r="H173" s="4" t="s">
        <v>359</v>
      </c>
    </row>
    <row r="174" spans="1:8" ht="15.75" customHeight="1" x14ac:dyDescent="0.2">
      <c r="A174" s="4" t="s">
        <v>368</v>
      </c>
      <c r="B174" s="4" t="str">
        <f t="shared" si="0"/>
        <v>Charles G Koch Charitable Foundation_State Policy Network20121000</v>
      </c>
      <c r="C174" s="4" t="str">
        <f ca="1">IFERROR(__xludf.DUMMYFUNCTION("ARRAY_CONSTRAIN(ARRAYFORMULA(SINGLE(TEXTJOIN(""_"",TRUE,D174,G174))), 1, 1)"),"Charles G Koch Charitable Foundation_2012")</f>
        <v>Charles G Koch Charitable Foundation_2012</v>
      </c>
      <c r="D174" s="4" t="s">
        <v>59</v>
      </c>
      <c r="E174" s="8" t="s">
        <v>46</v>
      </c>
      <c r="F174" s="6">
        <v>1000</v>
      </c>
      <c r="G174" s="4">
        <v>2012</v>
      </c>
      <c r="H174" s="4" t="s">
        <v>359</v>
      </c>
    </row>
    <row r="175" spans="1:8" ht="15.75" customHeight="1" x14ac:dyDescent="0.2">
      <c r="A175" s="4" t="s">
        <v>368</v>
      </c>
      <c r="B175" s="4" t="str">
        <f t="shared" si="0"/>
        <v>Charles G Koch Charitable Foundation_State Policy Network201214223</v>
      </c>
      <c r="C175" s="4" t="str">
        <f ca="1">IFERROR(__xludf.DUMMYFUNCTION("ARRAY_CONSTRAIN(ARRAYFORMULA(SINGLE(TEXTJOIN(""_"",TRUE,D175,G175))), 1, 1)"),"Charles G Koch Charitable Foundation_2012")</f>
        <v>Charles G Koch Charitable Foundation_2012</v>
      </c>
      <c r="D175" s="4" t="s">
        <v>59</v>
      </c>
      <c r="E175" s="8" t="s">
        <v>46</v>
      </c>
      <c r="F175" s="6">
        <v>14223</v>
      </c>
      <c r="G175" s="4">
        <v>2012</v>
      </c>
      <c r="H175" s="4" t="s">
        <v>359</v>
      </c>
    </row>
    <row r="176" spans="1:8" ht="15.75" customHeight="1" x14ac:dyDescent="0.2">
      <c r="A176" s="4">
        <v>990</v>
      </c>
      <c r="B176" s="4" t="str">
        <f t="shared" si="0"/>
        <v>Charles Koch Institute_State Policy Network20186000</v>
      </c>
      <c r="C176" s="4" t="str">
        <f ca="1">IFERROR(__xludf.DUMMYFUNCTION("ARRAY_CONSTRAIN(ARRAYFORMULA(SINGLE(TEXTJOIN(""_"",TRUE,D176,G176))), 1, 1)"),"Charles Koch Institute_2018")</f>
        <v>Charles Koch Institute_2018</v>
      </c>
      <c r="D176" s="4" t="s">
        <v>100</v>
      </c>
      <c r="E176" s="8" t="s">
        <v>46</v>
      </c>
      <c r="F176" s="6">
        <v>6000</v>
      </c>
      <c r="G176" s="4">
        <v>2018</v>
      </c>
      <c r="H176" s="4" t="s">
        <v>361</v>
      </c>
    </row>
    <row r="177" spans="1:8" ht="15.75" customHeight="1" x14ac:dyDescent="0.2">
      <c r="A177" s="4">
        <v>990</v>
      </c>
      <c r="B177" s="4" t="str">
        <f t="shared" si="0"/>
        <v>Charles Koch Institute_State Policy Network20168000</v>
      </c>
      <c r="C177" s="4" t="str">
        <f ca="1">IFERROR(__xludf.DUMMYFUNCTION("ARRAY_CONSTRAIN(ARRAYFORMULA(SINGLE(TEXTJOIN(""_"",TRUE,D177,G177))), 1, 1)"),"Charles Koch Institute_2016")</f>
        <v>Charles Koch Institute_2016</v>
      </c>
      <c r="D177" s="4" t="s">
        <v>100</v>
      </c>
      <c r="E177" s="8" t="s">
        <v>46</v>
      </c>
      <c r="F177" s="6">
        <v>8000</v>
      </c>
      <c r="G177" s="4">
        <v>2016</v>
      </c>
      <c r="H177" s="4" t="s">
        <v>361</v>
      </c>
    </row>
    <row r="178" spans="1:8" ht="15.75" customHeight="1" x14ac:dyDescent="0.2">
      <c r="A178" s="4">
        <v>990</v>
      </c>
      <c r="B178" s="4" t="str">
        <f t="shared" si="0"/>
        <v>Charles Koch Institute_State Policy Network20155200</v>
      </c>
      <c r="C178" s="4" t="str">
        <f ca="1">IFERROR(__xludf.DUMMYFUNCTION("ARRAY_CONSTRAIN(ARRAYFORMULA(SINGLE(TEXTJOIN(""_"",TRUE,D178,G178))), 1, 1)"),"Charles Koch Institute_2015")</f>
        <v>Charles Koch Institute_2015</v>
      </c>
      <c r="D178" s="4" t="s">
        <v>100</v>
      </c>
      <c r="E178" s="8" t="s">
        <v>46</v>
      </c>
      <c r="F178" s="6">
        <v>5200</v>
      </c>
      <c r="G178" s="4">
        <v>2015</v>
      </c>
      <c r="H178" s="4" t="s">
        <v>361</v>
      </c>
    </row>
    <row r="179" spans="1:8" ht="15.75" customHeight="1" x14ac:dyDescent="0.2">
      <c r="A179" s="4">
        <v>990</v>
      </c>
      <c r="B179" s="4" t="str">
        <f t="shared" si="0"/>
        <v>Chase Foundation of Virginia_State Policy Network20215000</v>
      </c>
      <c r="C179" s="4" t="str">
        <f ca="1">IFERROR(__xludf.DUMMYFUNCTION("ARRAY_CONSTRAIN(ARRAYFORMULA(SINGLE(TEXTJOIN(""_"",TRUE,D179,G179))), 1, 1)"),"Chase Foundation of Virginia_2021")</f>
        <v>Chase Foundation of Virginia_2021</v>
      </c>
      <c r="D179" s="4" t="s">
        <v>39</v>
      </c>
      <c r="E179" s="8" t="s">
        <v>46</v>
      </c>
      <c r="F179" s="6">
        <v>5000</v>
      </c>
      <c r="G179" s="4">
        <v>2021</v>
      </c>
      <c r="H179" s="4" t="s">
        <v>361</v>
      </c>
    </row>
    <row r="180" spans="1:8" ht="15.75" customHeight="1" x14ac:dyDescent="0.2">
      <c r="A180" s="4">
        <v>990</v>
      </c>
      <c r="B180" s="4" t="str">
        <f t="shared" si="0"/>
        <v>Chase Foundation of Virginia_State Policy Network202012000</v>
      </c>
      <c r="C180" s="4" t="str">
        <f ca="1">IFERROR(__xludf.DUMMYFUNCTION("ARRAY_CONSTRAIN(ARRAYFORMULA(SINGLE(TEXTJOIN(""_"",TRUE,D180,G180))), 1, 1)"),"Chase Foundation of Virginia_2020")</f>
        <v>Chase Foundation of Virginia_2020</v>
      </c>
      <c r="D180" s="4" t="s">
        <v>39</v>
      </c>
      <c r="E180" s="8" t="s">
        <v>46</v>
      </c>
      <c r="F180" s="6">
        <v>12000</v>
      </c>
      <c r="G180" s="4">
        <v>2020</v>
      </c>
      <c r="H180" s="4" t="s">
        <v>361</v>
      </c>
    </row>
    <row r="181" spans="1:8" ht="15.75" customHeight="1" x14ac:dyDescent="0.2">
      <c r="A181" s="4">
        <v>990</v>
      </c>
      <c r="B181" s="4" t="str">
        <f t="shared" si="0"/>
        <v>Chase Foundation of Virginia_State Policy Network201912000</v>
      </c>
      <c r="C181" s="4" t="str">
        <f ca="1">IFERROR(__xludf.DUMMYFUNCTION("ARRAY_CONSTRAIN(ARRAYFORMULA(SINGLE(TEXTJOIN(""_"",TRUE,D181,G181))), 1, 1)"),"Chase Foundation of Virginia_2019")</f>
        <v>Chase Foundation of Virginia_2019</v>
      </c>
      <c r="D181" s="4" t="s">
        <v>39</v>
      </c>
      <c r="E181" s="8" t="s">
        <v>46</v>
      </c>
      <c r="F181" s="6">
        <v>12000</v>
      </c>
      <c r="G181" s="4">
        <v>2019</v>
      </c>
      <c r="H181" s="4" t="s">
        <v>361</v>
      </c>
    </row>
    <row r="182" spans="1:8" ht="15.75" customHeight="1" x14ac:dyDescent="0.2">
      <c r="A182" s="4">
        <v>990</v>
      </c>
      <c r="B182" s="4" t="str">
        <f t="shared" si="0"/>
        <v>Chase Foundation of Virginia_State Policy Network201812000</v>
      </c>
      <c r="C182" s="4" t="str">
        <f ca="1">IFERROR(__xludf.DUMMYFUNCTION("ARRAY_CONSTRAIN(ARRAYFORMULA(SINGLE(TEXTJOIN(""_"",TRUE,D182,G182))), 1, 1)"),"Chase Foundation of Virginia_2018")</f>
        <v>Chase Foundation of Virginia_2018</v>
      </c>
      <c r="D182" s="4" t="s">
        <v>39</v>
      </c>
      <c r="E182" s="8" t="s">
        <v>46</v>
      </c>
      <c r="F182" s="6">
        <v>12000</v>
      </c>
      <c r="G182" s="4">
        <v>2018</v>
      </c>
      <c r="H182" s="4" t="s">
        <v>361</v>
      </c>
    </row>
    <row r="183" spans="1:8" ht="15.75" customHeight="1" x14ac:dyDescent="0.2">
      <c r="A183" s="4">
        <v>990</v>
      </c>
      <c r="B183" s="4" t="str">
        <f t="shared" si="0"/>
        <v>Chase Foundation of Virginia_State Policy Network201712000</v>
      </c>
      <c r="C183" s="4" t="str">
        <f ca="1">IFERROR(__xludf.DUMMYFUNCTION("ARRAY_CONSTRAIN(ARRAYFORMULA(SINGLE(TEXTJOIN(""_"",TRUE,D183,G183))), 1, 1)"),"Chase Foundation of Virginia_2017")</f>
        <v>Chase Foundation of Virginia_2017</v>
      </c>
      <c r="D183" s="4" t="s">
        <v>39</v>
      </c>
      <c r="E183" s="8" t="s">
        <v>46</v>
      </c>
      <c r="F183" s="6">
        <v>12000</v>
      </c>
      <c r="G183" s="4">
        <v>2017</v>
      </c>
      <c r="H183" s="4" t="s">
        <v>361</v>
      </c>
    </row>
    <row r="184" spans="1:8" ht="15.75" customHeight="1" x14ac:dyDescent="0.2">
      <c r="A184" s="4">
        <v>990</v>
      </c>
      <c r="B184" s="4" t="str">
        <f t="shared" si="0"/>
        <v>Chase Foundation of Virginia_State Policy Network201612000</v>
      </c>
      <c r="C184" s="4" t="str">
        <f ca="1">IFERROR(__xludf.DUMMYFUNCTION("ARRAY_CONSTRAIN(ARRAYFORMULA(SINGLE(TEXTJOIN(""_"",TRUE,D184,G184))), 1, 1)"),"Chase Foundation of Virginia_2016")</f>
        <v>Chase Foundation of Virginia_2016</v>
      </c>
      <c r="D184" s="4" t="s">
        <v>39</v>
      </c>
      <c r="E184" s="8" t="s">
        <v>46</v>
      </c>
      <c r="F184" s="6">
        <v>12000</v>
      </c>
      <c r="G184" s="4">
        <v>2016</v>
      </c>
      <c r="H184" s="4" t="s">
        <v>361</v>
      </c>
    </row>
    <row r="185" spans="1:8" ht="15.75" customHeight="1" x14ac:dyDescent="0.2">
      <c r="A185" s="4">
        <v>990</v>
      </c>
      <c r="B185" s="4" t="str">
        <f t="shared" si="0"/>
        <v>Chase Foundation of Virginia_State Policy Network201512000</v>
      </c>
      <c r="C185" s="4" t="str">
        <f ca="1">IFERROR(__xludf.DUMMYFUNCTION("ARRAY_CONSTRAIN(ARRAYFORMULA(SINGLE(TEXTJOIN(""_"",TRUE,D185,G185))), 1, 1)"),"Chase Foundation of Virginia_2015")</f>
        <v>Chase Foundation of Virginia_2015</v>
      </c>
      <c r="D185" s="4" t="s">
        <v>39</v>
      </c>
      <c r="E185" s="8" t="s">
        <v>46</v>
      </c>
      <c r="F185" s="6">
        <v>12000</v>
      </c>
      <c r="G185" s="4">
        <v>2015</v>
      </c>
      <c r="H185" s="4" t="s">
        <v>361</v>
      </c>
    </row>
    <row r="186" spans="1:8" ht="15.75" customHeight="1" x14ac:dyDescent="0.2">
      <c r="A186" s="4">
        <v>990</v>
      </c>
      <c r="B186" s="4" t="str">
        <f t="shared" si="0"/>
        <v>Chase Foundation of Virginia_State Policy Network201410000</v>
      </c>
      <c r="C186" s="4" t="str">
        <f ca="1">IFERROR(__xludf.DUMMYFUNCTION("ARRAY_CONSTRAIN(ARRAYFORMULA(SINGLE(TEXTJOIN(""_"",TRUE,D186,G186))), 1, 1)"),"Chase Foundation of Virginia_2014")</f>
        <v>Chase Foundation of Virginia_2014</v>
      </c>
      <c r="D186" s="4" t="s">
        <v>39</v>
      </c>
      <c r="E186" s="8" t="s">
        <v>46</v>
      </c>
      <c r="F186" s="6">
        <v>10000</v>
      </c>
      <c r="G186" s="4">
        <v>2014</v>
      </c>
      <c r="H186" s="4" t="s">
        <v>361</v>
      </c>
    </row>
    <row r="187" spans="1:8" ht="15.75" customHeight="1" x14ac:dyDescent="0.2">
      <c r="A187" s="4">
        <v>990</v>
      </c>
      <c r="B187" s="4" t="str">
        <f t="shared" si="0"/>
        <v>Chase Foundation of Virginia_State Policy Network201310000</v>
      </c>
      <c r="C187" s="4" t="str">
        <f ca="1">IFERROR(__xludf.DUMMYFUNCTION("ARRAY_CONSTRAIN(ARRAYFORMULA(SINGLE(TEXTJOIN(""_"",TRUE,D187,G187))), 1, 1)"),"Chase Foundation of Virginia_2013")</f>
        <v>Chase Foundation of Virginia_2013</v>
      </c>
      <c r="D187" s="4" t="s">
        <v>39</v>
      </c>
      <c r="E187" s="8" t="s">
        <v>46</v>
      </c>
      <c r="F187" s="6">
        <v>10000</v>
      </c>
      <c r="G187" s="4">
        <v>2013</v>
      </c>
      <c r="H187" s="4" t="s">
        <v>361</v>
      </c>
    </row>
    <row r="188" spans="1:8" ht="15.75" customHeight="1" x14ac:dyDescent="0.2">
      <c r="A188" s="4" t="s">
        <v>368</v>
      </c>
      <c r="B188" s="4" t="str">
        <f t="shared" si="0"/>
        <v>Chase Foundation of Virginia_State Policy Network201210000</v>
      </c>
      <c r="C188" s="4" t="str">
        <f ca="1">IFERROR(__xludf.DUMMYFUNCTION("ARRAY_CONSTRAIN(ARRAYFORMULA(SINGLE(TEXTJOIN(""_"",TRUE,D188,G188))), 1, 1)"),"Chase Foundation of Virginia_2012")</f>
        <v>Chase Foundation of Virginia_2012</v>
      </c>
      <c r="D188" s="4" t="s">
        <v>39</v>
      </c>
      <c r="E188" s="8" t="s">
        <v>46</v>
      </c>
      <c r="F188" s="6">
        <v>10000</v>
      </c>
      <c r="G188" s="4">
        <v>2012</v>
      </c>
      <c r="H188" s="4" t="s">
        <v>359</v>
      </c>
    </row>
    <row r="189" spans="1:8" ht="15.75" customHeight="1" x14ac:dyDescent="0.2">
      <c r="A189" s="4" t="s">
        <v>369</v>
      </c>
      <c r="B189" s="4" t="str">
        <f t="shared" si="0"/>
        <v>Chase Foundation of Virginia_State Policy Network201110000</v>
      </c>
      <c r="C189" s="4" t="str">
        <f ca="1">IFERROR(__xludf.DUMMYFUNCTION("ARRAY_CONSTRAIN(ARRAYFORMULA(SINGLE(TEXTJOIN(""_"",TRUE,D189,G189))), 1, 1)"),"Chase Foundation of Virginia_2011")</f>
        <v>Chase Foundation of Virginia_2011</v>
      </c>
      <c r="D189" s="4" t="s">
        <v>39</v>
      </c>
      <c r="E189" s="8" t="s">
        <v>46</v>
      </c>
      <c r="F189" s="6">
        <v>10000</v>
      </c>
      <c r="G189" s="4">
        <v>2011</v>
      </c>
      <c r="H189" s="4" t="s">
        <v>359</v>
      </c>
    </row>
    <row r="190" spans="1:8" ht="15.75" customHeight="1" x14ac:dyDescent="0.2">
      <c r="A190" s="4" t="s">
        <v>369</v>
      </c>
      <c r="B190" s="4" t="str">
        <f t="shared" si="0"/>
        <v>Chase Foundation of Virginia_State Policy Network201010000</v>
      </c>
      <c r="C190" s="4" t="str">
        <f ca="1">IFERROR(__xludf.DUMMYFUNCTION("ARRAY_CONSTRAIN(ARRAYFORMULA(SINGLE(TEXTJOIN(""_"",TRUE,D190,G190))), 1, 1)"),"Chase Foundation of Virginia_2010")</f>
        <v>Chase Foundation of Virginia_2010</v>
      </c>
      <c r="D190" s="4" t="s">
        <v>39</v>
      </c>
      <c r="E190" s="8" t="s">
        <v>46</v>
      </c>
      <c r="F190" s="6">
        <v>10000</v>
      </c>
      <c r="G190" s="4">
        <v>2010</v>
      </c>
      <c r="H190" s="4" t="s">
        <v>359</v>
      </c>
    </row>
    <row r="191" spans="1:8" ht="15.75" customHeight="1" x14ac:dyDescent="0.2">
      <c r="A191" s="4" t="s">
        <v>369</v>
      </c>
      <c r="B191" s="4" t="str">
        <f t="shared" si="0"/>
        <v>Chase Foundation of Virginia_State Policy Network200910000</v>
      </c>
      <c r="C191" s="4" t="str">
        <f ca="1">IFERROR(__xludf.DUMMYFUNCTION("ARRAY_CONSTRAIN(ARRAYFORMULA(SINGLE(TEXTJOIN(""_"",TRUE,D191,G191))), 1, 1)"),"Chase Foundation of Virginia_2009")</f>
        <v>Chase Foundation of Virginia_2009</v>
      </c>
      <c r="D191" s="4" t="s">
        <v>39</v>
      </c>
      <c r="E191" s="8" t="s">
        <v>46</v>
      </c>
      <c r="F191" s="6">
        <v>10000</v>
      </c>
      <c r="G191" s="4">
        <v>2009</v>
      </c>
      <c r="H191" s="4" t="s">
        <v>359</v>
      </c>
    </row>
    <row r="192" spans="1:8" ht="15.75" customHeight="1" x14ac:dyDescent="0.2">
      <c r="A192" s="4" t="s">
        <v>369</v>
      </c>
      <c r="B192" s="4" t="str">
        <f t="shared" si="0"/>
        <v>Chase Foundation of Virginia_State Policy Network200615000</v>
      </c>
      <c r="C192" s="4" t="str">
        <f ca="1">IFERROR(__xludf.DUMMYFUNCTION("ARRAY_CONSTRAIN(ARRAYFORMULA(SINGLE(TEXTJOIN(""_"",TRUE,D192,G192))), 1, 1)"),"Chase Foundation of Virginia_2006")</f>
        <v>Chase Foundation of Virginia_2006</v>
      </c>
      <c r="D192" s="4" t="s">
        <v>39</v>
      </c>
      <c r="E192" s="8" t="s">
        <v>46</v>
      </c>
      <c r="F192" s="6">
        <v>15000</v>
      </c>
      <c r="G192" s="4">
        <v>2006</v>
      </c>
      <c r="H192" s="4" t="s">
        <v>359</v>
      </c>
    </row>
    <row r="193" spans="1:8" ht="15.75" customHeight="1" x14ac:dyDescent="0.2">
      <c r="A193" s="4" t="s">
        <v>369</v>
      </c>
      <c r="B193" s="4" t="str">
        <f t="shared" si="0"/>
        <v>Chase Foundation of Virginia_State Policy Network200515000</v>
      </c>
      <c r="C193" s="4" t="str">
        <f ca="1">IFERROR(__xludf.DUMMYFUNCTION("ARRAY_CONSTRAIN(ARRAYFORMULA(SINGLE(TEXTJOIN(""_"",TRUE,D193,G193))), 1, 1)"),"Chase Foundation of Virginia_2005")</f>
        <v>Chase Foundation of Virginia_2005</v>
      </c>
      <c r="D193" s="4" t="s">
        <v>39</v>
      </c>
      <c r="E193" s="8" t="s">
        <v>46</v>
      </c>
      <c r="F193" s="6">
        <v>15000</v>
      </c>
      <c r="G193" s="4">
        <v>2005</v>
      </c>
      <c r="H193" s="4" t="s">
        <v>359</v>
      </c>
    </row>
    <row r="194" spans="1:8" ht="15.75" customHeight="1" x14ac:dyDescent="0.2">
      <c r="A194" s="4" t="s">
        <v>369</v>
      </c>
      <c r="B194" s="4" t="str">
        <f t="shared" si="0"/>
        <v>Chase Foundation of Virginia_State Policy Network200415860</v>
      </c>
      <c r="C194" s="4" t="str">
        <f ca="1">IFERROR(__xludf.DUMMYFUNCTION("ARRAY_CONSTRAIN(ARRAYFORMULA(SINGLE(TEXTJOIN(""_"",TRUE,D194,G194))), 1, 1)"),"Chase Foundation of Virginia_2004")</f>
        <v>Chase Foundation of Virginia_2004</v>
      </c>
      <c r="D194" s="4" t="s">
        <v>39</v>
      </c>
      <c r="E194" s="8" t="s">
        <v>46</v>
      </c>
      <c r="F194" s="6">
        <v>15860</v>
      </c>
      <c r="G194" s="4">
        <v>2004</v>
      </c>
      <c r="H194" s="4" t="s">
        <v>359</v>
      </c>
    </row>
    <row r="195" spans="1:8" ht="15.75" customHeight="1" x14ac:dyDescent="0.2">
      <c r="A195" s="4" t="s">
        <v>369</v>
      </c>
      <c r="B195" s="4" t="str">
        <f t="shared" si="0"/>
        <v>Chase Foundation of Virginia_State Policy Network200315000</v>
      </c>
      <c r="C195" s="4" t="str">
        <f ca="1">IFERROR(__xludf.DUMMYFUNCTION("ARRAY_CONSTRAIN(ARRAYFORMULA(SINGLE(TEXTJOIN(""_"",TRUE,D195,G195))), 1, 1)"),"Chase Foundation of Virginia_2003")</f>
        <v>Chase Foundation of Virginia_2003</v>
      </c>
      <c r="D195" s="4" t="s">
        <v>39</v>
      </c>
      <c r="E195" s="8" t="s">
        <v>46</v>
      </c>
      <c r="F195" s="6">
        <v>15000</v>
      </c>
      <c r="G195" s="4">
        <v>2003</v>
      </c>
      <c r="H195" s="4" t="s">
        <v>359</v>
      </c>
    </row>
    <row r="196" spans="1:8" ht="15.75" customHeight="1" x14ac:dyDescent="0.2">
      <c r="A196" s="4" t="s">
        <v>368</v>
      </c>
      <c r="B196" s="4" t="str">
        <f t="shared" si="0"/>
        <v>Chase Foundation of Virginia_State Policy Network200215000</v>
      </c>
      <c r="C196" s="4" t="str">
        <f ca="1">IFERROR(__xludf.DUMMYFUNCTION("ARRAY_CONSTRAIN(ARRAYFORMULA(SINGLE(TEXTJOIN(""_"",TRUE,D196,G196))), 1, 1)"),"Chase Foundation of Virginia_2002")</f>
        <v>Chase Foundation of Virginia_2002</v>
      </c>
      <c r="D196" s="4" t="s">
        <v>39</v>
      </c>
      <c r="E196" s="8" t="s">
        <v>46</v>
      </c>
      <c r="F196" s="6">
        <v>15000</v>
      </c>
      <c r="G196" s="4">
        <v>2002</v>
      </c>
      <c r="H196" s="4" t="s">
        <v>359</v>
      </c>
    </row>
    <row r="197" spans="1:8" ht="15.75" customHeight="1" x14ac:dyDescent="0.2">
      <c r="A197" s="4" t="s">
        <v>368</v>
      </c>
      <c r="B197" s="4" t="str">
        <f t="shared" si="0"/>
        <v>Chase Foundation of Virginia_State Policy Network200115000</v>
      </c>
      <c r="C197" s="4" t="str">
        <f ca="1">IFERROR(__xludf.DUMMYFUNCTION("ARRAY_CONSTRAIN(ARRAYFORMULA(SINGLE(TEXTJOIN(""_"",TRUE,D197,G197))), 1, 1)"),"Chase Foundation of Virginia_2001")</f>
        <v>Chase Foundation of Virginia_2001</v>
      </c>
      <c r="D197" s="4" t="s">
        <v>39</v>
      </c>
      <c r="E197" s="8" t="s">
        <v>46</v>
      </c>
      <c r="F197" s="6">
        <v>15000</v>
      </c>
      <c r="G197" s="4">
        <v>2001</v>
      </c>
      <c r="H197" s="4" t="s">
        <v>359</v>
      </c>
    </row>
    <row r="198" spans="1:8" ht="15.75" customHeight="1" x14ac:dyDescent="0.2">
      <c r="A198" s="4">
        <v>990</v>
      </c>
      <c r="B198" s="4" t="str">
        <f t="shared" si="0"/>
        <v>Chiaroscuro Foundation_State Policy Network201310000</v>
      </c>
      <c r="C198" s="4" t="str">
        <f ca="1">IFERROR(__xludf.DUMMYFUNCTION("ARRAY_CONSTRAIN(ARRAYFORMULA(SINGLE(TEXTJOIN(""_"",TRUE,D198,G198))), 1, 1)"),"Chiaroscuro Foundation_2013")</f>
        <v>Chiaroscuro Foundation_2013</v>
      </c>
      <c r="D198" s="4" t="s">
        <v>131</v>
      </c>
      <c r="E198" s="8" t="s">
        <v>46</v>
      </c>
      <c r="F198" s="6">
        <v>10000</v>
      </c>
      <c r="G198" s="4">
        <v>2013</v>
      </c>
      <c r="H198" s="4" t="s">
        <v>361</v>
      </c>
    </row>
    <row r="199" spans="1:8" ht="15.75" customHeight="1" x14ac:dyDescent="0.2">
      <c r="A199" s="4">
        <v>990</v>
      </c>
      <c r="B199" s="4" t="str">
        <f t="shared" si="0"/>
        <v>Chiavacci Family Foundation_State Policy Network20211000</v>
      </c>
      <c r="C199" s="4" t="str">
        <f ca="1">IFERROR(__xludf.DUMMYFUNCTION("ARRAY_CONSTRAIN(ARRAYFORMULA(SINGLE(TEXTJOIN(""_"",TRUE,D199,G199))), 1, 1)"),"Chiavacci Family Foundation_2021")</f>
        <v>Chiavacci Family Foundation_2021</v>
      </c>
      <c r="D199" s="8" t="s">
        <v>188</v>
      </c>
      <c r="E199" s="8" t="s">
        <v>46</v>
      </c>
      <c r="F199" s="6">
        <v>1000</v>
      </c>
      <c r="G199" s="4">
        <v>2021</v>
      </c>
      <c r="H199" s="4" t="s">
        <v>361</v>
      </c>
    </row>
    <row r="200" spans="1:8" ht="15.75" customHeight="1" x14ac:dyDescent="0.2">
      <c r="A200" s="4" t="s">
        <v>368</v>
      </c>
      <c r="B200" s="4" t="str">
        <f t="shared" si="0"/>
        <v>Claude R Lambe Charitable Foundation_State Policy Network201110000</v>
      </c>
      <c r="C200" s="4" t="str">
        <f ca="1">IFERROR(__xludf.DUMMYFUNCTION("ARRAY_CONSTRAIN(ARRAYFORMULA(SINGLE(TEXTJOIN(""_"",TRUE,D200,G200))), 1, 1)"),"Claude R Lambe Charitable Foundation_2011")</f>
        <v>Claude R Lambe Charitable Foundation_2011</v>
      </c>
      <c r="D200" s="4" t="s">
        <v>75</v>
      </c>
      <c r="E200" s="8" t="s">
        <v>46</v>
      </c>
      <c r="F200" s="6">
        <v>10000</v>
      </c>
      <c r="G200" s="4">
        <v>2011</v>
      </c>
      <c r="H200" s="4" t="s">
        <v>359</v>
      </c>
    </row>
    <row r="201" spans="1:8" ht="15.75" customHeight="1" x14ac:dyDescent="0.2">
      <c r="A201" s="4" t="s">
        <v>369</v>
      </c>
      <c r="B201" s="4" t="str">
        <f t="shared" si="0"/>
        <v>Claude R Lambe Charitable Foundation_State Policy Network200615000</v>
      </c>
      <c r="C201" s="4" t="str">
        <f ca="1">IFERROR(__xludf.DUMMYFUNCTION("ARRAY_CONSTRAIN(ARRAYFORMULA(SINGLE(TEXTJOIN(""_"",TRUE,D201,G201))), 1, 1)"),"Claude R Lambe Charitable Foundation_2006")</f>
        <v>Claude R Lambe Charitable Foundation_2006</v>
      </c>
      <c r="D201" s="4" t="s">
        <v>75</v>
      </c>
      <c r="E201" s="8" t="s">
        <v>46</v>
      </c>
      <c r="F201" s="6">
        <v>15000</v>
      </c>
      <c r="G201" s="4">
        <v>2006</v>
      </c>
      <c r="H201" s="4" t="s">
        <v>359</v>
      </c>
    </row>
    <row r="202" spans="1:8" ht="15.75" customHeight="1" x14ac:dyDescent="0.2">
      <c r="A202" s="4" t="s">
        <v>369</v>
      </c>
      <c r="B202" s="4" t="str">
        <f t="shared" si="0"/>
        <v>Claude R Lambe Charitable Foundation_State Policy Network200515000</v>
      </c>
      <c r="C202" s="4" t="str">
        <f ca="1">IFERROR(__xludf.DUMMYFUNCTION("ARRAY_CONSTRAIN(ARRAYFORMULA(SINGLE(TEXTJOIN(""_"",TRUE,D202,G202))), 1, 1)"),"Claude R Lambe Charitable Foundation_2005")</f>
        <v>Claude R Lambe Charitable Foundation_2005</v>
      </c>
      <c r="D202" s="4" t="s">
        <v>75</v>
      </c>
      <c r="E202" s="8" t="s">
        <v>46</v>
      </c>
      <c r="F202" s="6">
        <v>15000</v>
      </c>
      <c r="G202" s="4">
        <v>2005</v>
      </c>
      <c r="H202" s="4" t="s">
        <v>359</v>
      </c>
    </row>
    <row r="203" spans="1:8" ht="15.75" customHeight="1" x14ac:dyDescent="0.2">
      <c r="A203" s="4" t="s">
        <v>369</v>
      </c>
      <c r="B203" s="4" t="str">
        <f t="shared" si="0"/>
        <v>Claude R Lambe Charitable Foundation_State Policy Network20042500</v>
      </c>
      <c r="C203" s="4" t="str">
        <f ca="1">IFERROR(__xludf.DUMMYFUNCTION("ARRAY_CONSTRAIN(ARRAYFORMULA(SINGLE(TEXTJOIN(""_"",TRUE,D203,G203))), 1, 1)"),"Claude R Lambe Charitable Foundation_2004")</f>
        <v>Claude R Lambe Charitable Foundation_2004</v>
      </c>
      <c r="D203" s="4" t="s">
        <v>75</v>
      </c>
      <c r="E203" s="8" t="s">
        <v>46</v>
      </c>
      <c r="F203" s="6">
        <v>2500</v>
      </c>
      <c r="G203" s="4">
        <v>2004</v>
      </c>
      <c r="H203" s="4" t="s">
        <v>359</v>
      </c>
    </row>
    <row r="204" spans="1:8" ht="15.75" customHeight="1" x14ac:dyDescent="0.2">
      <c r="A204" s="4" t="s">
        <v>368</v>
      </c>
      <c r="B204" s="4" t="str">
        <f t="shared" si="0"/>
        <v>Claude R Lambe Charitable Foundation_State Policy Network20026500</v>
      </c>
      <c r="C204" s="4" t="str">
        <f ca="1">IFERROR(__xludf.DUMMYFUNCTION("ARRAY_CONSTRAIN(ARRAYFORMULA(SINGLE(TEXTJOIN(""_"",TRUE,D204,G204))), 1, 1)"),"Claude R Lambe Charitable Foundation_2002")</f>
        <v>Claude R Lambe Charitable Foundation_2002</v>
      </c>
      <c r="D204" s="4" t="s">
        <v>75</v>
      </c>
      <c r="E204" s="8" t="s">
        <v>46</v>
      </c>
      <c r="F204" s="6">
        <v>6500</v>
      </c>
      <c r="G204" s="4">
        <v>2002</v>
      </c>
      <c r="H204" s="4" t="s">
        <v>359</v>
      </c>
    </row>
    <row r="205" spans="1:8" ht="15.75" customHeight="1" x14ac:dyDescent="0.2">
      <c r="A205" s="4">
        <v>990</v>
      </c>
      <c r="B205" s="4" t="str">
        <f t="shared" si="0"/>
        <v>Coalition for The New Economy_State Policy Network201515000</v>
      </c>
      <c r="C205" s="4" t="str">
        <f ca="1">IFERROR(__xludf.DUMMYFUNCTION("ARRAY_CONSTRAIN(ARRAYFORMULA(SINGLE(TEXTJOIN(""_"",TRUE,D205,G205))), 1, 1)"),"Coalition for The New Economy_2015")</f>
        <v>Coalition for The New Economy_2015</v>
      </c>
      <c r="D205" s="4" t="s">
        <v>111</v>
      </c>
      <c r="E205" s="8" t="s">
        <v>46</v>
      </c>
      <c r="F205" s="6">
        <v>15000</v>
      </c>
      <c r="G205" s="4">
        <v>2015</v>
      </c>
      <c r="H205" s="4" t="s">
        <v>361</v>
      </c>
    </row>
    <row r="206" spans="1:8" ht="15.75" customHeight="1" x14ac:dyDescent="0.2">
      <c r="A206" s="4" t="s">
        <v>418</v>
      </c>
      <c r="B206" s="4" t="str">
        <f t="shared" si="0"/>
        <v>Community Foundation of New Jersey_State Policy Network202125000</v>
      </c>
      <c r="C206" s="4" t="str">
        <f ca="1">IFERROR(__xludf.DUMMYFUNCTION("ARRAY_CONSTRAIN(ARRAYFORMULA(SINGLE(TEXTJOIN(""_"",TRUE,D206,G206))), 1, 1)"),"Community Foundation of New Jersey_2021")</f>
        <v>Community Foundation of New Jersey_2021</v>
      </c>
      <c r="D206" s="4" t="s">
        <v>73</v>
      </c>
      <c r="E206" s="8" t="s">
        <v>46</v>
      </c>
      <c r="F206" s="6">
        <v>25000</v>
      </c>
      <c r="G206" s="4">
        <v>2021</v>
      </c>
      <c r="H206" s="4" t="s">
        <v>361</v>
      </c>
    </row>
    <row r="207" spans="1:8" ht="15.75" customHeight="1" x14ac:dyDescent="0.2">
      <c r="A207" s="4" t="s">
        <v>419</v>
      </c>
      <c r="B207" s="4" t="str">
        <f t="shared" si="0"/>
        <v>Community Foundation of New Jersey_State Policy Network202025000</v>
      </c>
      <c r="C207" s="4" t="str">
        <f ca="1">IFERROR(__xludf.DUMMYFUNCTION("ARRAY_CONSTRAIN(ARRAYFORMULA(SINGLE(TEXTJOIN(""_"",TRUE,D207,G207))), 1, 1)"),"Community Foundation of New Jersey_2020")</f>
        <v>Community Foundation of New Jersey_2020</v>
      </c>
      <c r="D207" s="4" t="s">
        <v>73</v>
      </c>
      <c r="E207" s="8" t="s">
        <v>46</v>
      </c>
      <c r="F207" s="6">
        <v>25000</v>
      </c>
      <c r="G207" s="4">
        <v>2020</v>
      </c>
      <c r="H207" s="4" t="s">
        <v>361</v>
      </c>
    </row>
    <row r="208" spans="1:8" ht="15.75" customHeight="1" x14ac:dyDescent="0.2">
      <c r="A208" s="4" t="s">
        <v>420</v>
      </c>
      <c r="B208" s="4" t="str">
        <f t="shared" si="0"/>
        <v>Community Foundation of the Holland Zeeland Area_State Policy Network202115500</v>
      </c>
      <c r="C208" s="4" t="str">
        <f ca="1">IFERROR(__xludf.DUMMYFUNCTION("ARRAY_CONSTRAIN(ARRAYFORMULA(SINGLE(TEXTJOIN(""_"",TRUE,D208,G208))), 1, 1)"),"Community Foundation of the Holland Zeeland Area_2021")</f>
        <v>Community Foundation of the Holland Zeeland Area_2021</v>
      </c>
      <c r="D208" s="4" t="s">
        <v>110</v>
      </c>
      <c r="E208" s="8" t="s">
        <v>46</v>
      </c>
      <c r="F208" s="6">
        <v>15500</v>
      </c>
      <c r="G208" s="4">
        <v>2021</v>
      </c>
      <c r="H208" s="4" t="s">
        <v>361</v>
      </c>
    </row>
    <row r="209" spans="1:8" ht="15.75" customHeight="1" x14ac:dyDescent="0.2">
      <c r="A209" s="4" t="s">
        <v>421</v>
      </c>
      <c r="B209" s="4" t="str">
        <f t="shared" si="0"/>
        <v>Constructive Management Foundation_State Policy Network20211000</v>
      </c>
      <c r="C209" s="4" t="str">
        <f ca="1">IFERROR(__xludf.DUMMYFUNCTION("ARRAY_CONSTRAIN(ARRAYFORMULA(SINGLE(TEXTJOIN(""_"",TRUE,D209,G209))), 1, 1)"),"Constructive Management Foundation_2021")</f>
        <v>Constructive Management Foundation_2021</v>
      </c>
      <c r="D209" s="4" t="s">
        <v>117</v>
      </c>
      <c r="E209" s="8" t="s">
        <v>46</v>
      </c>
      <c r="F209" s="6">
        <v>1000</v>
      </c>
      <c r="G209" s="4">
        <v>2021</v>
      </c>
      <c r="H209" s="4" t="s">
        <v>361</v>
      </c>
    </row>
    <row r="210" spans="1:8" ht="15.75" customHeight="1" x14ac:dyDescent="0.2">
      <c r="A210" s="4" t="s">
        <v>422</v>
      </c>
      <c r="B210" s="4" t="str">
        <f t="shared" si="0"/>
        <v>Constructive Management Foundation_State Policy Network20204000</v>
      </c>
      <c r="C210" s="4" t="str">
        <f ca="1">IFERROR(__xludf.DUMMYFUNCTION("ARRAY_CONSTRAIN(ARRAYFORMULA(SINGLE(TEXTJOIN(""_"",TRUE,D210,G210))), 1, 1)"),"Constructive Management Foundation_2020")</f>
        <v>Constructive Management Foundation_2020</v>
      </c>
      <c r="D210" s="4" t="s">
        <v>117</v>
      </c>
      <c r="E210" s="8" t="s">
        <v>46</v>
      </c>
      <c r="F210" s="6">
        <v>4000</v>
      </c>
      <c r="G210" s="4">
        <v>2020</v>
      </c>
      <c r="H210" s="4" t="s">
        <v>361</v>
      </c>
    </row>
    <row r="211" spans="1:8" ht="15.75" customHeight="1" x14ac:dyDescent="0.2">
      <c r="A211" s="4" t="s">
        <v>423</v>
      </c>
      <c r="B211" s="4" t="str">
        <f t="shared" si="0"/>
        <v>Constructive Management Foundation_State Policy Network20185000</v>
      </c>
      <c r="C211" s="4" t="str">
        <f ca="1">IFERROR(__xludf.DUMMYFUNCTION("ARRAY_CONSTRAIN(ARRAYFORMULA(SINGLE(TEXTJOIN(""_"",TRUE,D211,G211))), 1, 1)"),"Constructive Management Foundation_2018")</f>
        <v>Constructive Management Foundation_2018</v>
      </c>
      <c r="D211" s="4" t="s">
        <v>117</v>
      </c>
      <c r="E211" s="8" t="s">
        <v>46</v>
      </c>
      <c r="F211" s="6">
        <v>5000</v>
      </c>
      <c r="G211" s="4">
        <v>2018</v>
      </c>
      <c r="H211" s="4" t="s">
        <v>361</v>
      </c>
    </row>
    <row r="212" spans="1:8" ht="15.75" customHeight="1" x14ac:dyDescent="0.2">
      <c r="A212" s="4" t="s">
        <v>424</v>
      </c>
      <c r="B212" s="4" t="str">
        <f t="shared" si="0"/>
        <v>Constructive Management Foundation_State Policy Network20171000</v>
      </c>
      <c r="C212" s="4" t="str">
        <f ca="1">IFERROR(__xludf.DUMMYFUNCTION("ARRAY_CONSTRAIN(ARRAYFORMULA(SINGLE(TEXTJOIN(""_"",TRUE,D212,G212))), 1, 1)"),"Constructive Management Foundation_2017")</f>
        <v>Constructive Management Foundation_2017</v>
      </c>
      <c r="D212" s="4" t="s">
        <v>117</v>
      </c>
      <c r="E212" s="8" t="s">
        <v>46</v>
      </c>
      <c r="F212" s="6">
        <v>1000</v>
      </c>
      <c r="G212" s="4">
        <v>2017</v>
      </c>
      <c r="H212" s="4" t="s">
        <v>361</v>
      </c>
    </row>
    <row r="213" spans="1:8" ht="15.75" customHeight="1" x14ac:dyDescent="0.2">
      <c r="A213" s="4" t="s">
        <v>425</v>
      </c>
      <c r="B213" s="4" t="str">
        <f t="shared" si="0"/>
        <v>Constructive Management Foundation_State Policy Network20161000</v>
      </c>
      <c r="C213" s="4" t="str">
        <f ca="1">IFERROR(__xludf.DUMMYFUNCTION("ARRAY_CONSTRAIN(ARRAYFORMULA(SINGLE(TEXTJOIN(""_"",TRUE,D213,G213))), 1, 1)"),"Constructive Management Foundation_2016")</f>
        <v>Constructive Management Foundation_2016</v>
      </c>
      <c r="D213" s="4" t="s">
        <v>117</v>
      </c>
      <c r="E213" s="8" t="s">
        <v>46</v>
      </c>
      <c r="F213" s="6">
        <v>1000</v>
      </c>
      <c r="G213" s="4">
        <v>2016</v>
      </c>
      <c r="H213" s="4" t="s">
        <v>361</v>
      </c>
    </row>
    <row r="214" spans="1:8" ht="15.75" customHeight="1" x14ac:dyDescent="0.2">
      <c r="A214" s="4" t="s">
        <v>426</v>
      </c>
      <c r="B214" s="4" t="str">
        <f t="shared" si="0"/>
        <v>Constructive Management Foundation_State Policy Network2004500</v>
      </c>
      <c r="C214" s="4" t="str">
        <f ca="1">IFERROR(__xludf.DUMMYFUNCTION("ARRAY_CONSTRAIN(ARRAYFORMULA(SINGLE(TEXTJOIN(""_"",TRUE,D214,G214))), 1, 1)"),"Constructive Management Foundation_2004")</f>
        <v>Constructive Management Foundation_2004</v>
      </c>
      <c r="D214" s="4" t="s">
        <v>117</v>
      </c>
      <c r="E214" s="8" t="s">
        <v>46</v>
      </c>
      <c r="F214" s="6">
        <v>500</v>
      </c>
      <c r="G214" s="4">
        <v>2004</v>
      </c>
      <c r="H214" s="4" t="s">
        <v>361</v>
      </c>
    </row>
    <row r="215" spans="1:8" ht="15.75" customHeight="1" x14ac:dyDescent="0.2">
      <c r="A215" s="4" t="s">
        <v>427</v>
      </c>
      <c r="B215" s="4" t="str">
        <f t="shared" si="0"/>
        <v>Constructive Management Foundation_State Policy Network2002500</v>
      </c>
      <c r="C215" s="4" t="str">
        <f ca="1">IFERROR(__xludf.DUMMYFUNCTION("ARRAY_CONSTRAIN(ARRAYFORMULA(SINGLE(TEXTJOIN(""_"",TRUE,D215,G215))), 1, 1)"),"Constructive Management Foundation_2002")</f>
        <v>Constructive Management Foundation_2002</v>
      </c>
      <c r="D215" s="4" t="s">
        <v>117</v>
      </c>
      <c r="E215" s="8" t="s">
        <v>46</v>
      </c>
      <c r="F215" s="6">
        <v>500</v>
      </c>
      <c r="G215" s="4">
        <v>2002</v>
      </c>
      <c r="H215" s="4" t="s">
        <v>361</v>
      </c>
    </row>
    <row r="216" spans="1:8" ht="15.75" customHeight="1" x14ac:dyDescent="0.2">
      <c r="A216" s="4" t="s">
        <v>428</v>
      </c>
      <c r="B216" s="4" t="str">
        <f t="shared" si="0"/>
        <v>Constructive Management Foundation_State Policy Network20011000</v>
      </c>
      <c r="C216" s="4" t="str">
        <f ca="1">IFERROR(__xludf.DUMMYFUNCTION("ARRAY_CONSTRAIN(ARRAYFORMULA(SINGLE(TEXTJOIN(""_"",TRUE,D216,G216))), 1, 1)"),"Constructive Management Foundation_2001")</f>
        <v>Constructive Management Foundation_2001</v>
      </c>
      <c r="D216" s="4" t="s">
        <v>117</v>
      </c>
      <c r="E216" s="8" t="s">
        <v>46</v>
      </c>
      <c r="F216" s="6">
        <v>1000</v>
      </c>
      <c r="G216" s="4">
        <v>2001</v>
      </c>
      <c r="H216" s="4" t="s">
        <v>361</v>
      </c>
    </row>
    <row r="217" spans="1:8" ht="15.75" customHeight="1" x14ac:dyDescent="0.2">
      <c r="A217" s="4" t="s">
        <v>429</v>
      </c>
      <c r="B217" s="4" t="str">
        <f t="shared" si="0"/>
        <v>Crawford Family Foundation_State Policy Network2018750</v>
      </c>
      <c r="C217" s="4" t="str">
        <f ca="1">IFERROR(__xludf.DUMMYFUNCTION("ARRAY_CONSTRAIN(ARRAYFORMULA(SINGLE(TEXTJOIN(""_"",TRUE,D217,G217))), 1, 1)"),"Crawford Family Foundation_2018")</f>
        <v>Crawford Family Foundation_2018</v>
      </c>
      <c r="D217" s="4" t="s">
        <v>149</v>
      </c>
      <c r="E217" s="8" t="s">
        <v>46</v>
      </c>
      <c r="F217" s="6">
        <v>750</v>
      </c>
      <c r="G217" s="4">
        <v>2018</v>
      </c>
      <c r="H217" s="4" t="s">
        <v>361</v>
      </c>
    </row>
    <row r="218" spans="1:8" ht="15.75" customHeight="1" x14ac:dyDescent="0.2">
      <c r="A218" s="4" t="s">
        <v>430</v>
      </c>
      <c r="B218" s="4" t="str">
        <f t="shared" si="0"/>
        <v>Crawford Family Foundation_State Policy Network2017500</v>
      </c>
      <c r="C218" s="4" t="str">
        <f ca="1">IFERROR(__xludf.DUMMYFUNCTION("ARRAY_CONSTRAIN(ARRAYFORMULA(SINGLE(TEXTJOIN(""_"",TRUE,D218,G218))), 1, 1)"),"Crawford Family Foundation_2017")</f>
        <v>Crawford Family Foundation_2017</v>
      </c>
      <c r="D218" s="4" t="s">
        <v>149</v>
      </c>
      <c r="E218" s="8" t="s">
        <v>46</v>
      </c>
      <c r="F218" s="6">
        <v>500</v>
      </c>
      <c r="G218" s="4">
        <v>2017</v>
      </c>
      <c r="H218" s="4" t="s">
        <v>361</v>
      </c>
    </row>
    <row r="219" spans="1:8" ht="15.75" customHeight="1" x14ac:dyDescent="0.2">
      <c r="A219" s="4" t="s">
        <v>431</v>
      </c>
      <c r="B219" s="4" t="str">
        <f t="shared" si="0"/>
        <v>Crawford Family Foundation_State Policy Network2016500</v>
      </c>
      <c r="C219" s="4" t="str">
        <f ca="1">IFERROR(__xludf.DUMMYFUNCTION("ARRAY_CONSTRAIN(ARRAYFORMULA(SINGLE(TEXTJOIN(""_"",TRUE,D219,G219))), 1, 1)"),"Crawford Family Foundation_2016")</f>
        <v>Crawford Family Foundation_2016</v>
      </c>
      <c r="D219" s="4" t="s">
        <v>149</v>
      </c>
      <c r="E219" s="8" t="s">
        <v>46</v>
      </c>
      <c r="F219" s="6">
        <v>500</v>
      </c>
      <c r="G219" s="4">
        <v>2016</v>
      </c>
      <c r="H219" s="4" t="s">
        <v>361</v>
      </c>
    </row>
    <row r="220" spans="1:8" ht="15.75" customHeight="1" x14ac:dyDescent="0.2">
      <c r="A220" s="4" t="s">
        <v>432</v>
      </c>
      <c r="B220" s="4" t="str">
        <f t="shared" si="0"/>
        <v>Crawford Family Foundation_State Policy Network20151000</v>
      </c>
      <c r="C220" s="4" t="str">
        <f ca="1">IFERROR(__xludf.DUMMYFUNCTION("ARRAY_CONSTRAIN(ARRAYFORMULA(SINGLE(TEXTJOIN(""_"",TRUE,D220,G220))), 1, 1)"),"Crawford Family Foundation_2015")</f>
        <v>Crawford Family Foundation_2015</v>
      </c>
      <c r="D220" s="4" t="s">
        <v>149</v>
      </c>
      <c r="E220" s="8" t="s">
        <v>46</v>
      </c>
      <c r="F220" s="6">
        <v>1000</v>
      </c>
      <c r="G220" s="4">
        <v>2015</v>
      </c>
      <c r="H220" s="4" t="s">
        <v>361</v>
      </c>
    </row>
    <row r="221" spans="1:8" ht="15.75" customHeight="1" x14ac:dyDescent="0.2">
      <c r="A221" s="4" t="s">
        <v>433</v>
      </c>
      <c r="B221" s="4" t="str">
        <f t="shared" si="0"/>
        <v>Crawford Family Foundation_State Policy Network2014500</v>
      </c>
      <c r="C221" s="4" t="str">
        <f ca="1">IFERROR(__xludf.DUMMYFUNCTION("ARRAY_CONSTRAIN(ARRAYFORMULA(SINGLE(TEXTJOIN(""_"",TRUE,D221,G221))), 1, 1)"),"Crawford Family Foundation_2014")</f>
        <v>Crawford Family Foundation_2014</v>
      </c>
      <c r="D221" s="4" t="s">
        <v>149</v>
      </c>
      <c r="E221" s="8" t="s">
        <v>46</v>
      </c>
      <c r="F221" s="6">
        <v>500</v>
      </c>
      <c r="G221" s="4">
        <v>2014</v>
      </c>
      <c r="H221" s="4" t="s">
        <v>361</v>
      </c>
    </row>
    <row r="222" spans="1:8" ht="15.75" customHeight="1" x14ac:dyDescent="0.2">
      <c r="A222" s="4" t="s">
        <v>434</v>
      </c>
      <c r="B222" s="4" t="str">
        <f t="shared" si="0"/>
        <v>Crawford Family Foundation_State Policy Network20131000</v>
      </c>
      <c r="C222" s="4" t="str">
        <f ca="1">IFERROR(__xludf.DUMMYFUNCTION("ARRAY_CONSTRAIN(ARRAYFORMULA(SINGLE(TEXTJOIN(""_"",TRUE,D222,G222))), 1, 1)"),"Crawford Family Foundation_2013")</f>
        <v>Crawford Family Foundation_2013</v>
      </c>
      <c r="D222" s="4" t="s">
        <v>149</v>
      </c>
      <c r="E222" s="8" t="s">
        <v>46</v>
      </c>
      <c r="F222" s="6">
        <v>1000</v>
      </c>
      <c r="G222" s="4">
        <v>2013</v>
      </c>
      <c r="H222" s="4" t="s">
        <v>361</v>
      </c>
    </row>
    <row r="223" spans="1:8" ht="15.75" customHeight="1" x14ac:dyDescent="0.2">
      <c r="A223" s="4" t="s">
        <v>435</v>
      </c>
      <c r="B223" s="4" t="str">
        <f t="shared" si="0"/>
        <v>Crawford Family Foundation_State Policy Network20121000</v>
      </c>
      <c r="C223" s="4" t="str">
        <f ca="1">IFERROR(__xludf.DUMMYFUNCTION("ARRAY_CONSTRAIN(ARRAYFORMULA(SINGLE(TEXTJOIN(""_"",TRUE,D223,G223))), 1, 1)"),"Crawford Family Foundation_2012")</f>
        <v>Crawford Family Foundation_2012</v>
      </c>
      <c r="D223" s="4" t="s">
        <v>149</v>
      </c>
      <c r="E223" s="8" t="s">
        <v>46</v>
      </c>
      <c r="F223" s="6">
        <v>1000</v>
      </c>
      <c r="G223" s="4">
        <v>2012</v>
      </c>
      <c r="H223" s="4" t="s">
        <v>361</v>
      </c>
    </row>
    <row r="224" spans="1:8" ht="15.75" customHeight="1" x14ac:dyDescent="0.2">
      <c r="A224" s="4" t="s">
        <v>436</v>
      </c>
      <c r="B224" s="4" t="str">
        <f t="shared" si="0"/>
        <v>Culpepper Family Foundation_State Policy Network2021250</v>
      </c>
      <c r="C224" s="4" t="str">
        <f ca="1">IFERROR(__xludf.DUMMYFUNCTION("ARRAY_CONSTRAIN(ARRAYFORMULA(SINGLE(TEXTJOIN(""_"",TRUE,D224,G224))), 1, 1)"),"Culpepper Family Foundation_2021")</f>
        <v>Culpepper Family Foundation_2021</v>
      </c>
      <c r="D224" s="4" t="s">
        <v>215</v>
      </c>
      <c r="E224" s="8" t="s">
        <v>46</v>
      </c>
      <c r="F224" s="6">
        <v>250</v>
      </c>
      <c r="G224" s="4">
        <v>2021</v>
      </c>
      <c r="H224" s="4" t="s">
        <v>361</v>
      </c>
    </row>
    <row r="225" spans="1:8" ht="15.75" customHeight="1" x14ac:dyDescent="0.2">
      <c r="A225" s="4" t="s">
        <v>437</v>
      </c>
      <c r="B225" s="4" t="str">
        <f t="shared" si="0"/>
        <v>D M Schneider Foundation_State Policy Network2022500</v>
      </c>
      <c r="C225" s="4" t="str">
        <f ca="1">IFERROR(__xludf.DUMMYFUNCTION("ARRAY_CONSTRAIN(ARRAYFORMULA(SINGLE(TEXTJOIN(""_"",TRUE,D225,G225))), 1, 1)"),"D M Schneider Foundation_2022")</f>
        <v>D M Schneider Foundation_2022</v>
      </c>
      <c r="D225" s="4" t="s">
        <v>168</v>
      </c>
      <c r="E225" s="8" t="s">
        <v>46</v>
      </c>
      <c r="F225" s="6">
        <v>500</v>
      </c>
      <c r="G225" s="4">
        <v>2022</v>
      </c>
      <c r="H225" s="4" t="s">
        <v>361</v>
      </c>
    </row>
    <row r="226" spans="1:8" ht="15.75" customHeight="1" x14ac:dyDescent="0.2">
      <c r="A226" s="4" t="s">
        <v>438</v>
      </c>
      <c r="B226" s="4" t="str">
        <f t="shared" si="0"/>
        <v>D M Schneider Foundation_State Policy Network20211000</v>
      </c>
      <c r="C226" s="4" t="str">
        <f ca="1">IFERROR(__xludf.DUMMYFUNCTION("ARRAY_CONSTRAIN(ARRAYFORMULA(SINGLE(TEXTJOIN(""_"",TRUE,D226,G226))), 1, 1)"),"D M Schneider Foundation_2021")</f>
        <v>D M Schneider Foundation_2021</v>
      </c>
      <c r="D226" s="4" t="s">
        <v>168</v>
      </c>
      <c r="E226" s="8" t="s">
        <v>46</v>
      </c>
      <c r="F226" s="6">
        <v>1000</v>
      </c>
      <c r="G226" s="4">
        <v>2021</v>
      </c>
      <c r="H226" s="4" t="s">
        <v>361</v>
      </c>
    </row>
    <row r="227" spans="1:8" ht="15.75" customHeight="1" x14ac:dyDescent="0.2">
      <c r="A227" s="4" t="s">
        <v>439</v>
      </c>
      <c r="B227" s="4" t="str">
        <f t="shared" si="0"/>
        <v>D M Schneider Foundation_State Policy Network2020500</v>
      </c>
      <c r="C227" s="4" t="str">
        <f ca="1">IFERROR(__xludf.DUMMYFUNCTION("ARRAY_CONSTRAIN(ARRAYFORMULA(SINGLE(TEXTJOIN(""_"",TRUE,D227,G227))), 1, 1)"),"D M Schneider Foundation_2020")</f>
        <v>D M Schneider Foundation_2020</v>
      </c>
      <c r="D227" s="4" t="s">
        <v>168</v>
      </c>
      <c r="E227" s="8" t="s">
        <v>46</v>
      </c>
      <c r="F227" s="6">
        <v>500</v>
      </c>
      <c r="G227" s="4">
        <v>2020</v>
      </c>
      <c r="H227" s="4" t="s">
        <v>361</v>
      </c>
    </row>
    <row r="228" spans="1:8" ht="15.75" customHeight="1" x14ac:dyDescent="0.2">
      <c r="A228" s="4" t="s">
        <v>440</v>
      </c>
      <c r="B228" s="4" t="str">
        <f t="shared" si="0"/>
        <v>David R and Rachel R Eidelman Family Foundation_State Policy Network20181000</v>
      </c>
      <c r="C228" s="4" t="str">
        <f ca="1">IFERROR(__xludf.DUMMYFUNCTION("ARRAY_CONSTRAIN(ARRAYFORMULA(SINGLE(TEXTJOIN(""_"",TRUE,D228,G228))), 1, 1)"),"David R and Rachel R Eidelman Family Foundation_2018")</f>
        <v>David R and Rachel R Eidelman Family Foundation_2018</v>
      </c>
      <c r="D228" s="4" t="s">
        <v>187</v>
      </c>
      <c r="E228" s="8" t="s">
        <v>46</v>
      </c>
      <c r="F228" s="6">
        <v>1000</v>
      </c>
      <c r="G228" s="4">
        <v>2018</v>
      </c>
      <c r="H228" s="4" t="s">
        <v>361</v>
      </c>
    </row>
    <row r="229" spans="1:8" ht="15.75" customHeight="1" x14ac:dyDescent="0.2">
      <c r="A229" s="4" t="s">
        <v>368</v>
      </c>
      <c r="B229" s="4" t="str">
        <f t="shared" si="0"/>
        <v>Deramus Foundation_State Policy Network20116000</v>
      </c>
      <c r="C229" s="4" t="str">
        <f ca="1">IFERROR(__xludf.DUMMYFUNCTION("ARRAY_CONSTRAIN(ARRAYFORMULA(SINGLE(TEXTJOIN(""_"",TRUE,D229,G229))), 1, 1)"),"Deramus Foundation_2011")</f>
        <v>Deramus Foundation_2011</v>
      </c>
      <c r="D229" s="4" t="s">
        <v>145</v>
      </c>
      <c r="E229" s="8" t="s">
        <v>46</v>
      </c>
      <c r="F229" s="6">
        <v>6000</v>
      </c>
      <c r="G229" s="4">
        <v>2011</v>
      </c>
      <c r="H229" s="4" t="s">
        <v>359</v>
      </c>
    </row>
    <row r="230" spans="1:8" ht="15.75" customHeight="1" x14ac:dyDescent="0.2">
      <c r="A230" s="4" t="s">
        <v>441</v>
      </c>
      <c r="B230" s="4" t="str">
        <f t="shared" si="0"/>
        <v>Dettmer Family Foundation_State Policy Network20222000</v>
      </c>
      <c r="C230" s="4" t="str">
        <f ca="1">IFERROR(__xludf.DUMMYFUNCTION("ARRAY_CONSTRAIN(ARRAYFORMULA(SINGLE(TEXTJOIN(""_"",TRUE,D230,G230))), 1, 1)"),"Dettmer Family Foundation_2022")</f>
        <v>Dettmer Family Foundation_2022</v>
      </c>
      <c r="D230" s="4" t="s">
        <v>95</v>
      </c>
      <c r="E230" s="8" t="s">
        <v>46</v>
      </c>
      <c r="F230" s="6">
        <v>2000</v>
      </c>
      <c r="G230" s="4">
        <v>2022</v>
      </c>
      <c r="H230" s="4" t="s">
        <v>361</v>
      </c>
    </row>
    <row r="231" spans="1:8" ht="15.75" customHeight="1" x14ac:dyDescent="0.2">
      <c r="A231" s="4" t="s">
        <v>442</v>
      </c>
      <c r="B231" s="4" t="str">
        <f t="shared" si="0"/>
        <v>Dettmer Family Foundation_State Policy Network20212000</v>
      </c>
      <c r="C231" s="4" t="str">
        <f ca="1">IFERROR(__xludf.DUMMYFUNCTION("ARRAY_CONSTRAIN(ARRAYFORMULA(SINGLE(TEXTJOIN(""_"",TRUE,D231,G231))), 1, 1)"),"Dettmer Family Foundation_2021")</f>
        <v>Dettmer Family Foundation_2021</v>
      </c>
      <c r="D231" s="4" t="s">
        <v>95</v>
      </c>
      <c r="E231" s="8" t="s">
        <v>46</v>
      </c>
      <c r="F231" s="6">
        <v>2000</v>
      </c>
      <c r="G231" s="4">
        <v>2021</v>
      </c>
      <c r="H231" s="4" t="s">
        <v>361</v>
      </c>
    </row>
    <row r="232" spans="1:8" ht="15.75" customHeight="1" x14ac:dyDescent="0.2">
      <c r="A232" s="4" t="s">
        <v>443</v>
      </c>
      <c r="B232" s="4" t="str">
        <f t="shared" si="0"/>
        <v>Dettmer Family Foundation_State Policy Network20202000</v>
      </c>
      <c r="C232" s="4" t="str">
        <f ca="1">IFERROR(__xludf.DUMMYFUNCTION("ARRAY_CONSTRAIN(ARRAYFORMULA(SINGLE(TEXTJOIN(""_"",TRUE,D232,G232))), 1, 1)"),"Dettmer Family Foundation_2020")</f>
        <v>Dettmer Family Foundation_2020</v>
      </c>
      <c r="D232" s="4" t="s">
        <v>95</v>
      </c>
      <c r="E232" s="8" t="s">
        <v>46</v>
      </c>
      <c r="F232" s="6">
        <v>2000</v>
      </c>
      <c r="G232" s="4">
        <v>2020</v>
      </c>
      <c r="H232" s="4" t="s">
        <v>361</v>
      </c>
    </row>
    <row r="233" spans="1:8" ht="15.75" customHeight="1" x14ac:dyDescent="0.2">
      <c r="A233" s="4" t="s">
        <v>444</v>
      </c>
      <c r="B233" s="4" t="str">
        <f t="shared" si="0"/>
        <v>Dettmer Family Foundation_State Policy Network20192500</v>
      </c>
      <c r="C233" s="4" t="str">
        <f ca="1">IFERROR(__xludf.DUMMYFUNCTION("ARRAY_CONSTRAIN(ARRAYFORMULA(SINGLE(TEXTJOIN(""_"",TRUE,D233,G233))), 1, 1)"),"Dettmer Family Foundation_2019")</f>
        <v>Dettmer Family Foundation_2019</v>
      </c>
      <c r="D233" s="4" t="s">
        <v>95</v>
      </c>
      <c r="E233" s="8" t="s">
        <v>46</v>
      </c>
      <c r="F233" s="6">
        <v>2500</v>
      </c>
      <c r="G233" s="4">
        <v>2019</v>
      </c>
      <c r="H233" s="4" t="s">
        <v>361</v>
      </c>
    </row>
    <row r="234" spans="1:8" ht="15.75" customHeight="1" x14ac:dyDescent="0.2">
      <c r="A234" s="4" t="s">
        <v>445</v>
      </c>
      <c r="B234" s="4" t="str">
        <f t="shared" si="0"/>
        <v>Dettmer Family Foundation_State Policy Network20185000</v>
      </c>
      <c r="C234" s="4" t="str">
        <f ca="1">IFERROR(__xludf.DUMMYFUNCTION("ARRAY_CONSTRAIN(ARRAYFORMULA(SINGLE(TEXTJOIN(""_"",TRUE,D234,G234))), 1, 1)"),"Dettmer Family Foundation_2018")</f>
        <v>Dettmer Family Foundation_2018</v>
      </c>
      <c r="D234" s="4" t="s">
        <v>95</v>
      </c>
      <c r="E234" s="8" t="s">
        <v>46</v>
      </c>
      <c r="F234" s="6">
        <v>5000</v>
      </c>
      <c r="G234" s="4">
        <v>2018</v>
      </c>
      <c r="H234" s="4" t="s">
        <v>361</v>
      </c>
    </row>
    <row r="235" spans="1:8" ht="15.75" customHeight="1" x14ac:dyDescent="0.2">
      <c r="A235" s="4" t="s">
        <v>446</v>
      </c>
      <c r="B235" s="4" t="str">
        <f t="shared" si="0"/>
        <v>Dettmer Family Foundation_State Policy Network20165000</v>
      </c>
      <c r="C235" s="4" t="str">
        <f ca="1">IFERROR(__xludf.DUMMYFUNCTION("ARRAY_CONSTRAIN(ARRAYFORMULA(SINGLE(TEXTJOIN(""_"",TRUE,D235,G235))), 1, 1)"),"Dettmer Family Foundation_2016")</f>
        <v>Dettmer Family Foundation_2016</v>
      </c>
      <c r="D235" s="4" t="s">
        <v>95</v>
      </c>
      <c r="E235" s="8" t="s">
        <v>46</v>
      </c>
      <c r="F235" s="6">
        <v>5000</v>
      </c>
      <c r="G235" s="4">
        <v>2016</v>
      </c>
      <c r="H235" s="4" t="s">
        <v>361</v>
      </c>
    </row>
    <row r="236" spans="1:8" ht="15.75" customHeight="1" x14ac:dyDescent="0.2">
      <c r="A236" s="4" t="s">
        <v>447</v>
      </c>
      <c r="B236" s="4" t="str">
        <f t="shared" si="0"/>
        <v>Dettmer Family Foundation_State Policy Network20155000</v>
      </c>
      <c r="C236" s="4" t="str">
        <f ca="1">IFERROR(__xludf.DUMMYFUNCTION("ARRAY_CONSTRAIN(ARRAYFORMULA(SINGLE(TEXTJOIN(""_"",TRUE,D236,G236))), 1, 1)"),"Dettmer Family Foundation_2015")</f>
        <v>Dettmer Family Foundation_2015</v>
      </c>
      <c r="D236" s="4" t="s">
        <v>95</v>
      </c>
      <c r="E236" s="8" t="s">
        <v>46</v>
      </c>
      <c r="F236" s="6">
        <v>5000</v>
      </c>
      <c r="G236" s="4">
        <v>2015</v>
      </c>
      <c r="H236" s="4" t="s">
        <v>361</v>
      </c>
    </row>
    <row r="237" spans="1:8" ht="15.75" customHeight="1" x14ac:dyDescent="0.2">
      <c r="A237" s="4" t="s">
        <v>448</v>
      </c>
      <c r="B237" s="4" t="str">
        <f t="shared" si="0"/>
        <v>Dettmer Family Foundation_State Policy Network20141000</v>
      </c>
      <c r="C237" s="4" t="str">
        <f ca="1">IFERROR(__xludf.DUMMYFUNCTION("ARRAY_CONSTRAIN(ARRAYFORMULA(SINGLE(TEXTJOIN(""_"",TRUE,D237,G237))), 1, 1)"),"Dettmer Family Foundation_2014")</f>
        <v>Dettmer Family Foundation_2014</v>
      </c>
      <c r="D237" s="4" t="s">
        <v>95</v>
      </c>
      <c r="E237" s="8" t="s">
        <v>46</v>
      </c>
      <c r="F237" s="6">
        <v>1000</v>
      </c>
      <c r="G237" s="4">
        <v>2014</v>
      </c>
      <c r="H237" s="4" t="s">
        <v>361</v>
      </c>
    </row>
    <row r="238" spans="1:8" ht="15.75" customHeight="1" x14ac:dyDescent="0.2">
      <c r="A238" s="4">
        <v>990</v>
      </c>
      <c r="B238" s="4" t="str">
        <f t="shared" si="0"/>
        <v>Diana Davis Spencer Foundation_State Policy Network2020100000</v>
      </c>
      <c r="C238" s="4" t="str">
        <f ca="1">IFERROR(__xludf.DUMMYFUNCTION("ARRAY_CONSTRAIN(ARRAYFORMULA(SINGLE(TEXTJOIN(""_"",TRUE,D238,G238))), 1, 1)"),"Diana Davis Spencer Foundation_2020")</f>
        <v>Diana Davis Spencer Foundation_2020</v>
      </c>
      <c r="D238" s="4" t="s">
        <v>22</v>
      </c>
      <c r="E238" s="8" t="s">
        <v>46</v>
      </c>
      <c r="F238" s="6">
        <v>100000</v>
      </c>
      <c r="G238" s="4">
        <v>2020</v>
      </c>
      <c r="H238" s="4" t="s">
        <v>361</v>
      </c>
    </row>
    <row r="239" spans="1:8" ht="15.75" customHeight="1" x14ac:dyDescent="0.2">
      <c r="A239" s="4">
        <v>990</v>
      </c>
      <c r="B239" s="4" t="str">
        <f t="shared" si="0"/>
        <v>Diana Davis Spencer Foundation_State Policy Network2019100000</v>
      </c>
      <c r="C239" s="4" t="str">
        <f ca="1">IFERROR(__xludf.DUMMYFUNCTION("ARRAY_CONSTRAIN(ARRAYFORMULA(SINGLE(TEXTJOIN(""_"",TRUE,D239,G239))), 1, 1)"),"Diana Davis Spencer Foundation_2019")</f>
        <v>Diana Davis Spencer Foundation_2019</v>
      </c>
      <c r="D239" s="4" t="s">
        <v>22</v>
      </c>
      <c r="E239" s="8" t="s">
        <v>46</v>
      </c>
      <c r="F239" s="6">
        <v>100000</v>
      </c>
      <c r="G239" s="4">
        <v>2019</v>
      </c>
      <c r="H239" s="4" t="s">
        <v>361</v>
      </c>
    </row>
    <row r="240" spans="1:8" ht="15.75" customHeight="1" x14ac:dyDescent="0.2">
      <c r="A240" s="4">
        <v>990</v>
      </c>
      <c r="B240" s="4" t="str">
        <f t="shared" si="0"/>
        <v>Diana Davis Spencer Foundation_State Policy Network2018150000</v>
      </c>
      <c r="C240" s="4" t="str">
        <f ca="1">IFERROR(__xludf.DUMMYFUNCTION("ARRAY_CONSTRAIN(ARRAYFORMULA(SINGLE(TEXTJOIN(""_"",TRUE,D240,G240))), 1, 1)"),"Diana Davis Spencer Foundation_2018")</f>
        <v>Diana Davis Spencer Foundation_2018</v>
      </c>
      <c r="D240" s="4" t="s">
        <v>22</v>
      </c>
      <c r="E240" s="8" t="s">
        <v>46</v>
      </c>
      <c r="F240" s="6">
        <v>150000</v>
      </c>
      <c r="G240" s="4">
        <v>2018</v>
      </c>
      <c r="H240" s="4" t="s">
        <v>361</v>
      </c>
    </row>
    <row r="241" spans="1:8" ht="15.75" customHeight="1" x14ac:dyDescent="0.2">
      <c r="A241" s="4">
        <v>990</v>
      </c>
      <c r="B241" s="4" t="str">
        <f t="shared" si="0"/>
        <v>Diana Davis Spencer Foundation_State Policy Network2017150000</v>
      </c>
      <c r="C241" s="4" t="str">
        <f ca="1">IFERROR(__xludf.DUMMYFUNCTION("ARRAY_CONSTRAIN(ARRAYFORMULA(SINGLE(TEXTJOIN(""_"",TRUE,D241,G241))), 1, 1)"),"Diana Davis Spencer Foundation_2017")</f>
        <v>Diana Davis Spencer Foundation_2017</v>
      </c>
      <c r="D241" s="4" t="s">
        <v>22</v>
      </c>
      <c r="E241" s="8" t="s">
        <v>46</v>
      </c>
      <c r="F241" s="6">
        <v>150000</v>
      </c>
      <c r="G241" s="4">
        <v>2017</v>
      </c>
      <c r="H241" s="4" t="s">
        <v>361</v>
      </c>
    </row>
    <row r="242" spans="1:8" ht="15.75" customHeight="1" x14ac:dyDescent="0.2">
      <c r="A242" s="4">
        <v>990</v>
      </c>
      <c r="B242" s="4" t="str">
        <f t="shared" si="0"/>
        <v>Diana Davis Spencer Foundation_State Policy Network2015100000</v>
      </c>
      <c r="C242" s="4" t="str">
        <f ca="1">IFERROR(__xludf.DUMMYFUNCTION("ARRAY_CONSTRAIN(ARRAYFORMULA(SINGLE(TEXTJOIN(""_"",TRUE,D242,G242))), 1, 1)"),"Diana Davis Spencer Foundation_2015")</f>
        <v>Diana Davis Spencer Foundation_2015</v>
      </c>
      <c r="D242" s="4" t="s">
        <v>22</v>
      </c>
      <c r="E242" s="8" t="s">
        <v>46</v>
      </c>
      <c r="F242" s="6">
        <v>100000</v>
      </c>
      <c r="G242" s="4">
        <v>2015</v>
      </c>
      <c r="H242" s="4" t="s">
        <v>361</v>
      </c>
    </row>
    <row r="243" spans="1:8" ht="15.75" customHeight="1" x14ac:dyDescent="0.2">
      <c r="A243" s="4">
        <v>990</v>
      </c>
      <c r="B243" s="4" t="str">
        <f t="shared" si="0"/>
        <v>Diana Davis Spencer Foundation_State Policy Network20148000</v>
      </c>
      <c r="C243" s="4" t="str">
        <f ca="1">IFERROR(__xludf.DUMMYFUNCTION("ARRAY_CONSTRAIN(ARRAYFORMULA(SINGLE(TEXTJOIN(""_"",TRUE,D243,G243))), 1, 1)"),"Diana Davis Spencer Foundation_2014")</f>
        <v>Diana Davis Spencer Foundation_2014</v>
      </c>
      <c r="D243" s="4" t="s">
        <v>22</v>
      </c>
      <c r="E243" s="8" t="s">
        <v>46</v>
      </c>
      <c r="F243" s="6">
        <v>8000</v>
      </c>
      <c r="G243" s="4">
        <v>2014</v>
      </c>
      <c r="H243" s="4" t="s">
        <v>361</v>
      </c>
    </row>
    <row r="244" spans="1:8" ht="15.75" customHeight="1" x14ac:dyDescent="0.2">
      <c r="A244" s="4">
        <v>990</v>
      </c>
      <c r="B244" s="4" t="str">
        <f t="shared" si="0"/>
        <v>Diana Davis Spencer Foundation_State Policy Network20135000</v>
      </c>
      <c r="C244" s="4" t="str">
        <f ca="1">IFERROR(__xludf.DUMMYFUNCTION("ARRAY_CONSTRAIN(ARRAYFORMULA(SINGLE(TEXTJOIN(""_"",TRUE,D244,G244))), 1, 1)"),"Diana Davis Spencer Foundation_2013")</f>
        <v>Diana Davis Spencer Foundation_2013</v>
      </c>
      <c r="D244" s="4" t="s">
        <v>22</v>
      </c>
      <c r="E244" s="8" t="s">
        <v>46</v>
      </c>
      <c r="F244" s="6">
        <v>5000</v>
      </c>
      <c r="G244" s="4">
        <v>2013</v>
      </c>
      <c r="H244" s="4" t="s">
        <v>361</v>
      </c>
    </row>
    <row r="245" spans="1:8" ht="15.75" customHeight="1" x14ac:dyDescent="0.2">
      <c r="A245" s="4" t="s">
        <v>368</v>
      </c>
      <c r="B245" s="4" t="str">
        <f t="shared" si="0"/>
        <v>Diana Davis Spencer Foundation_State Policy Network20115000</v>
      </c>
      <c r="C245" s="4" t="str">
        <f ca="1">IFERROR(__xludf.DUMMYFUNCTION("ARRAY_CONSTRAIN(ARRAYFORMULA(SINGLE(TEXTJOIN(""_"",TRUE,D245,G245))), 1, 1)"),"Diana Davis Spencer Foundation_2011")</f>
        <v>Diana Davis Spencer Foundation_2011</v>
      </c>
      <c r="D245" s="4" t="s">
        <v>22</v>
      </c>
      <c r="E245" s="8" t="s">
        <v>46</v>
      </c>
      <c r="F245" s="6">
        <v>5000</v>
      </c>
      <c r="G245" s="4">
        <v>2011</v>
      </c>
      <c r="H245" s="4" t="s">
        <v>359</v>
      </c>
    </row>
    <row r="246" spans="1:8" ht="15.75" customHeight="1" x14ac:dyDescent="0.2">
      <c r="A246" s="4" t="s">
        <v>368</v>
      </c>
      <c r="B246" s="4" t="str">
        <f t="shared" si="0"/>
        <v>Diana Davis Spencer Foundation_State Policy Network20102000</v>
      </c>
      <c r="C246" s="4" t="str">
        <f ca="1">IFERROR(__xludf.DUMMYFUNCTION("ARRAY_CONSTRAIN(ARRAYFORMULA(SINGLE(TEXTJOIN(""_"",TRUE,D246,G246))), 1, 1)"),"Diana Davis Spencer Foundation_2010")</f>
        <v>Diana Davis Spencer Foundation_2010</v>
      </c>
      <c r="D246" s="4" t="s">
        <v>22</v>
      </c>
      <c r="E246" s="8" t="s">
        <v>46</v>
      </c>
      <c r="F246" s="6">
        <v>2000</v>
      </c>
      <c r="G246" s="4">
        <v>2010</v>
      </c>
      <c r="H246" s="4" t="s">
        <v>359</v>
      </c>
    </row>
    <row r="247" spans="1:8" ht="15.75" customHeight="1" x14ac:dyDescent="0.2">
      <c r="A247" s="4">
        <v>990</v>
      </c>
      <c r="B247" s="4" t="str">
        <f t="shared" si="0"/>
        <v>Dodge Jones Foundation_State Policy Network20175000</v>
      </c>
      <c r="C247" s="4" t="str">
        <f ca="1">IFERROR(__xludf.DUMMYFUNCTION("ARRAY_CONSTRAIN(ARRAYFORMULA(SINGLE(TEXTJOIN(""_"",TRUE,D247,G247))), 1, 1)"),"Dodge Jones Foundation_2017")</f>
        <v>Dodge Jones Foundation_2017</v>
      </c>
      <c r="D247" s="4" t="s">
        <v>116</v>
      </c>
      <c r="E247" s="8" t="s">
        <v>46</v>
      </c>
      <c r="F247" s="6">
        <v>5000</v>
      </c>
      <c r="G247" s="4">
        <v>2017</v>
      </c>
      <c r="H247" s="4" t="s">
        <v>361</v>
      </c>
    </row>
    <row r="248" spans="1:8" ht="15.75" customHeight="1" x14ac:dyDescent="0.2">
      <c r="A248" s="4">
        <v>990</v>
      </c>
      <c r="B248" s="4" t="str">
        <f t="shared" si="0"/>
        <v>Dodge Jones Foundation_State Policy Network20151500</v>
      </c>
      <c r="C248" s="4" t="str">
        <f ca="1">IFERROR(__xludf.DUMMYFUNCTION("ARRAY_CONSTRAIN(ARRAYFORMULA(SINGLE(TEXTJOIN(""_"",TRUE,D248,G248))), 1, 1)"),"Dodge Jones Foundation_2015")</f>
        <v>Dodge Jones Foundation_2015</v>
      </c>
      <c r="D248" s="4" t="s">
        <v>116</v>
      </c>
      <c r="E248" s="8" t="s">
        <v>46</v>
      </c>
      <c r="F248" s="6">
        <v>1500</v>
      </c>
      <c r="G248" s="4">
        <v>2015</v>
      </c>
      <c r="H248" s="4" t="s">
        <v>361</v>
      </c>
    </row>
    <row r="249" spans="1:8" ht="15.75" customHeight="1" x14ac:dyDescent="0.2">
      <c r="A249" s="4">
        <v>990</v>
      </c>
      <c r="B249" s="4" t="str">
        <f t="shared" si="0"/>
        <v>Dodge Jones Foundation_State Policy Network20141000</v>
      </c>
      <c r="C249" s="4" t="str">
        <f ca="1">IFERROR(__xludf.DUMMYFUNCTION("ARRAY_CONSTRAIN(ARRAYFORMULA(SINGLE(TEXTJOIN(""_"",TRUE,D249,G249))), 1, 1)"),"Dodge Jones Foundation_2014")</f>
        <v>Dodge Jones Foundation_2014</v>
      </c>
      <c r="D249" s="4" t="s">
        <v>116</v>
      </c>
      <c r="E249" s="8" t="s">
        <v>46</v>
      </c>
      <c r="F249" s="6">
        <v>1000</v>
      </c>
      <c r="G249" s="4">
        <v>2014</v>
      </c>
      <c r="H249" s="4" t="s">
        <v>361</v>
      </c>
    </row>
    <row r="250" spans="1:8" ht="15.75" customHeight="1" x14ac:dyDescent="0.2">
      <c r="A250" s="4">
        <v>990</v>
      </c>
      <c r="B250" s="4" t="str">
        <f t="shared" si="0"/>
        <v>Dodge Jones Foundation_State Policy Network20131000</v>
      </c>
      <c r="C250" s="4" t="str">
        <f ca="1">IFERROR(__xludf.DUMMYFUNCTION("ARRAY_CONSTRAIN(ARRAYFORMULA(SINGLE(TEXTJOIN(""_"",TRUE,D250,G250))), 1, 1)"),"Dodge Jones Foundation_2013")</f>
        <v>Dodge Jones Foundation_2013</v>
      </c>
      <c r="D250" s="4" t="s">
        <v>116</v>
      </c>
      <c r="E250" s="8" t="s">
        <v>46</v>
      </c>
      <c r="F250" s="6">
        <v>1000</v>
      </c>
      <c r="G250" s="4">
        <v>2013</v>
      </c>
      <c r="H250" s="4" t="s">
        <v>361</v>
      </c>
    </row>
    <row r="251" spans="1:8" ht="15.75" customHeight="1" x14ac:dyDescent="0.2">
      <c r="A251" s="4">
        <v>990</v>
      </c>
      <c r="B251" s="4" t="str">
        <f t="shared" si="0"/>
        <v>Dodge Jones Foundation_State Policy Network20121000</v>
      </c>
      <c r="C251" s="4" t="str">
        <f ca="1">IFERROR(__xludf.DUMMYFUNCTION("ARRAY_CONSTRAIN(ARRAYFORMULA(SINGLE(TEXTJOIN(""_"",TRUE,D251,G251))), 1, 1)"),"Dodge Jones Foundation_2012")</f>
        <v>Dodge Jones Foundation_2012</v>
      </c>
      <c r="D251" s="4" t="s">
        <v>116</v>
      </c>
      <c r="E251" s="8" t="s">
        <v>46</v>
      </c>
      <c r="F251" s="6">
        <v>1000</v>
      </c>
      <c r="G251" s="4">
        <v>2012</v>
      </c>
      <c r="H251" s="4" t="s">
        <v>361</v>
      </c>
    </row>
    <row r="252" spans="1:8" ht="15.75" customHeight="1" x14ac:dyDescent="0.2">
      <c r="A252" s="4">
        <v>990</v>
      </c>
      <c r="B252" s="4" t="str">
        <f t="shared" si="0"/>
        <v>Dodge Jones Foundation_State Policy Network20112500</v>
      </c>
      <c r="C252" s="4" t="str">
        <f ca="1">IFERROR(__xludf.DUMMYFUNCTION("ARRAY_CONSTRAIN(ARRAYFORMULA(SINGLE(TEXTJOIN(""_"",TRUE,D252,G252))), 1, 1)"),"Dodge Jones Foundation_2011")</f>
        <v>Dodge Jones Foundation_2011</v>
      </c>
      <c r="D252" s="4" t="s">
        <v>116</v>
      </c>
      <c r="E252" s="8" t="s">
        <v>46</v>
      </c>
      <c r="F252" s="6">
        <v>2500</v>
      </c>
      <c r="G252" s="4">
        <v>2011</v>
      </c>
      <c r="H252" s="4" t="s">
        <v>361</v>
      </c>
    </row>
    <row r="253" spans="1:8" ht="15.75" customHeight="1" x14ac:dyDescent="0.2">
      <c r="A253" s="4">
        <v>990</v>
      </c>
      <c r="B253" s="4" t="str">
        <f t="shared" si="0"/>
        <v>Dodge Jones Foundation_State Policy Network20101000</v>
      </c>
      <c r="C253" s="4" t="str">
        <f ca="1">IFERROR(__xludf.DUMMYFUNCTION("ARRAY_CONSTRAIN(ARRAYFORMULA(SINGLE(TEXTJOIN(""_"",TRUE,D253,G253))), 1, 1)"),"Dodge Jones Foundation_2010")</f>
        <v>Dodge Jones Foundation_2010</v>
      </c>
      <c r="D253" s="4" t="s">
        <v>116</v>
      </c>
      <c r="E253" s="8" t="s">
        <v>46</v>
      </c>
      <c r="F253" s="6">
        <v>1000</v>
      </c>
      <c r="G253" s="4">
        <v>2010</v>
      </c>
      <c r="H253" s="4" t="s">
        <v>361</v>
      </c>
    </row>
    <row r="254" spans="1:8" ht="15.75" customHeight="1" x14ac:dyDescent="0.2">
      <c r="A254" s="4">
        <v>990</v>
      </c>
      <c r="B254" s="4" t="str">
        <f t="shared" si="0"/>
        <v>Dodge Jones Foundation_State Policy Network20091000</v>
      </c>
      <c r="C254" s="4" t="str">
        <f ca="1">IFERROR(__xludf.DUMMYFUNCTION("ARRAY_CONSTRAIN(ARRAYFORMULA(SINGLE(TEXTJOIN(""_"",TRUE,D254,G254))), 1, 1)"),"Dodge Jones Foundation_2009")</f>
        <v>Dodge Jones Foundation_2009</v>
      </c>
      <c r="D254" s="4" t="s">
        <v>116</v>
      </c>
      <c r="E254" s="8" t="s">
        <v>46</v>
      </c>
      <c r="F254" s="6">
        <v>1000</v>
      </c>
      <c r="G254" s="4">
        <v>2009</v>
      </c>
      <c r="H254" s="4" t="s">
        <v>361</v>
      </c>
    </row>
    <row r="255" spans="1:8" ht="15.75" customHeight="1" x14ac:dyDescent="0.2">
      <c r="A255" s="4" t="s">
        <v>449</v>
      </c>
      <c r="B255" s="4" t="str">
        <f t="shared" si="0"/>
        <v>Donald L &amp; Valerie D Gottschalk Foundation_State Policy Network2022100</v>
      </c>
      <c r="C255" s="4" t="str">
        <f ca="1">IFERROR(__xludf.DUMMYFUNCTION("ARRAY_CONSTRAIN(ARRAYFORMULA(SINGLE(TEXTJOIN(""_"",TRUE,D255,G255))), 1, 1)"),"Donald L &amp; Valerie D Gottschalk Foundation_2022")</f>
        <v>Donald L &amp; Valerie D Gottschalk Foundation_2022</v>
      </c>
      <c r="D255" s="4" t="s">
        <v>194</v>
      </c>
      <c r="E255" s="8" t="s">
        <v>46</v>
      </c>
      <c r="F255" s="6">
        <v>100</v>
      </c>
      <c r="G255" s="4">
        <v>2022</v>
      </c>
      <c r="H255" s="4" t="s">
        <v>361</v>
      </c>
    </row>
    <row r="256" spans="1:8" ht="15.75" customHeight="1" x14ac:dyDescent="0.2">
      <c r="A256" s="4" t="s">
        <v>450</v>
      </c>
      <c r="B256" s="4" t="str">
        <f t="shared" si="0"/>
        <v>Donald L &amp; Valerie D Gottschalk Foundation_State Policy Network2021100</v>
      </c>
      <c r="C256" s="4" t="str">
        <f ca="1">IFERROR(__xludf.DUMMYFUNCTION("ARRAY_CONSTRAIN(ARRAYFORMULA(SINGLE(TEXTJOIN(""_"",TRUE,D256,G256))), 1, 1)"),"Donald L &amp; Valerie D Gottschalk Foundation_2021")</f>
        <v>Donald L &amp; Valerie D Gottschalk Foundation_2021</v>
      </c>
      <c r="D256" s="4" t="s">
        <v>194</v>
      </c>
      <c r="E256" s="8" t="s">
        <v>46</v>
      </c>
      <c r="F256" s="6">
        <v>100</v>
      </c>
      <c r="G256" s="4">
        <v>2021</v>
      </c>
      <c r="H256" s="4" t="s">
        <v>361</v>
      </c>
    </row>
    <row r="257" spans="1:8" ht="15.75" customHeight="1" x14ac:dyDescent="0.2">
      <c r="A257" s="4" t="s">
        <v>451</v>
      </c>
      <c r="B257" s="4" t="str">
        <f t="shared" ref="B257:B511" si="1">D257&amp;"_"&amp;E257&amp;G257&amp;F257</f>
        <v>Donald L &amp; Valerie D Gottschalk Foundation_State Policy Network2020100</v>
      </c>
      <c r="C257" s="4" t="str">
        <f ca="1">IFERROR(__xludf.DUMMYFUNCTION("ARRAY_CONSTRAIN(ARRAYFORMULA(SINGLE(TEXTJOIN(""_"",TRUE,D257,G257))), 1, 1)"),"Donald L &amp; Valerie D Gottschalk Foundation_2020")</f>
        <v>Donald L &amp; Valerie D Gottschalk Foundation_2020</v>
      </c>
      <c r="D257" s="4" t="s">
        <v>194</v>
      </c>
      <c r="E257" s="8" t="s">
        <v>46</v>
      </c>
      <c r="F257" s="6">
        <v>100</v>
      </c>
      <c r="G257" s="4">
        <v>2020</v>
      </c>
      <c r="H257" s="4" t="s">
        <v>361</v>
      </c>
    </row>
    <row r="258" spans="1:8" ht="15.75" customHeight="1" x14ac:dyDescent="0.2">
      <c r="A258" s="4" t="s">
        <v>452</v>
      </c>
      <c r="B258" s="4" t="str">
        <f t="shared" si="1"/>
        <v>Donald L &amp; Valerie D Gottschalk Foundation_State Policy Network2019100</v>
      </c>
      <c r="C258" s="4" t="str">
        <f ca="1">IFERROR(__xludf.DUMMYFUNCTION("ARRAY_CONSTRAIN(ARRAYFORMULA(SINGLE(TEXTJOIN(""_"",TRUE,D258,G258))), 1, 1)"),"Donald L &amp; Valerie D Gottschalk Foundation_2019")</f>
        <v>Donald L &amp; Valerie D Gottschalk Foundation_2019</v>
      </c>
      <c r="D258" s="4" t="s">
        <v>194</v>
      </c>
      <c r="E258" s="8" t="s">
        <v>46</v>
      </c>
      <c r="F258" s="6">
        <v>100</v>
      </c>
      <c r="G258" s="4">
        <v>2019</v>
      </c>
      <c r="H258" s="4" t="s">
        <v>361</v>
      </c>
    </row>
    <row r="259" spans="1:8" ht="15.75" customHeight="1" x14ac:dyDescent="0.2">
      <c r="A259" s="4" t="s">
        <v>453</v>
      </c>
      <c r="B259" s="4" t="str">
        <f t="shared" si="1"/>
        <v>Donald L &amp; Valerie D Gottschalk Foundation_State Policy Network2018200</v>
      </c>
      <c r="C259" s="4" t="str">
        <f ca="1">IFERROR(__xludf.DUMMYFUNCTION("ARRAY_CONSTRAIN(ARRAYFORMULA(SINGLE(TEXTJOIN(""_"",TRUE,D259,G259))), 1, 1)"),"Donald L &amp; Valerie D Gottschalk Foundation_2018")</f>
        <v>Donald L &amp; Valerie D Gottschalk Foundation_2018</v>
      </c>
      <c r="D259" s="4" t="s">
        <v>194</v>
      </c>
      <c r="E259" s="8" t="s">
        <v>46</v>
      </c>
      <c r="F259" s="6">
        <v>200</v>
      </c>
      <c r="G259" s="4">
        <v>2018</v>
      </c>
      <c r="H259" s="4" t="s">
        <v>361</v>
      </c>
    </row>
    <row r="260" spans="1:8" ht="15.75" customHeight="1" x14ac:dyDescent="0.2">
      <c r="A260" s="4">
        <v>990</v>
      </c>
      <c r="B260" s="4" t="str">
        <f t="shared" si="1"/>
        <v>Donors Capital Fund_State Policy Network202050000</v>
      </c>
      <c r="C260" s="4" t="str">
        <f ca="1">IFERROR(__xludf.DUMMYFUNCTION("ARRAY_CONSTRAIN(ARRAYFORMULA(SINGLE(TEXTJOIN(""_"",TRUE,D260,G260))), 1, 1)"),"Donors Capital Fund_2020")</f>
        <v>Donors Capital Fund_2020</v>
      </c>
      <c r="D260" s="4" t="s">
        <v>10</v>
      </c>
      <c r="E260" s="8" t="s">
        <v>46</v>
      </c>
      <c r="F260" s="6">
        <v>50000</v>
      </c>
      <c r="G260" s="4">
        <v>2020</v>
      </c>
      <c r="H260" s="4" t="s">
        <v>361</v>
      </c>
    </row>
    <row r="261" spans="1:8" ht="15.75" customHeight="1" x14ac:dyDescent="0.2">
      <c r="A261" s="4">
        <v>990</v>
      </c>
      <c r="B261" s="4" t="str">
        <f t="shared" si="1"/>
        <v>Donors Capital Fund_State Policy Network201740000</v>
      </c>
      <c r="C261" s="4" t="str">
        <f ca="1">IFERROR(__xludf.DUMMYFUNCTION("ARRAY_CONSTRAIN(ARRAYFORMULA(SINGLE(TEXTJOIN(""_"",TRUE,D261,G261))), 1, 1)"),"Donors Capital Fund_2017")</f>
        <v>Donors Capital Fund_2017</v>
      </c>
      <c r="D261" s="4" t="s">
        <v>10</v>
      </c>
      <c r="E261" s="8" t="s">
        <v>46</v>
      </c>
      <c r="F261" s="6">
        <v>40000</v>
      </c>
      <c r="G261" s="4">
        <v>2017</v>
      </c>
      <c r="H261" s="4" t="s">
        <v>361</v>
      </c>
    </row>
    <row r="262" spans="1:8" ht="15.75" customHeight="1" x14ac:dyDescent="0.2">
      <c r="A262" s="4">
        <v>990</v>
      </c>
      <c r="B262" s="4" t="str">
        <f t="shared" si="1"/>
        <v>Donors Capital Fund_State Policy Network2016104500</v>
      </c>
      <c r="C262" s="4" t="str">
        <f ca="1">IFERROR(__xludf.DUMMYFUNCTION("ARRAY_CONSTRAIN(ARRAYFORMULA(SINGLE(TEXTJOIN(""_"",TRUE,D262,G262))), 1, 1)"),"Donors Capital Fund_2016")</f>
        <v>Donors Capital Fund_2016</v>
      </c>
      <c r="D262" s="4" t="s">
        <v>10</v>
      </c>
      <c r="E262" s="8" t="s">
        <v>46</v>
      </c>
      <c r="F262" s="6">
        <v>104500</v>
      </c>
      <c r="G262" s="4">
        <v>2016</v>
      </c>
      <c r="H262" s="4" t="s">
        <v>361</v>
      </c>
    </row>
    <row r="263" spans="1:8" ht="15.75" customHeight="1" x14ac:dyDescent="0.2">
      <c r="A263" s="4">
        <v>990</v>
      </c>
      <c r="B263" s="4" t="str">
        <f t="shared" si="1"/>
        <v>Donors Capital Fund_State Policy Network2016153300</v>
      </c>
      <c r="C263" s="4" t="str">
        <f ca="1">IFERROR(__xludf.DUMMYFUNCTION("ARRAY_CONSTRAIN(ARRAYFORMULA(SINGLE(TEXTJOIN(""_"",TRUE,D263,G263))), 1, 1)"),"Donors Capital Fund_2016")</f>
        <v>Donors Capital Fund_2016</v>
      </c>
      <c r="D263" s="4" t="s">
        <v>10</v>
      </c>
      <c r="E263" s="8" t="s">
        <v>46</v>
      </c>
      <c r="F263" s="6">
        <v>153300</v>
      </c>
      <c r="G263" s="4">
        <v>2016</v>
      </c>
      <c r="H263" s="4" t="s">
        <v>361</v>
      </c>
    </row>
    <row r="264" spans="1:8" ht="15.75" customHeight="1" x14ac:dyDescent="0.2">
      <c r="A264" s="4">
        <v>990</v>
      </c>
      <c r="B264" s="4" t="str">
        <f t="shared" si="1"/>
        <v>Donors Capital Fund_State Policy Network2016165400</v>
      </c>
      <c r="C264" s="4" t="str">
        <f ca="1">IFERROR(__xludf.DUMMYFUNCTION("ARRAY_CONSTRAIN(ARRAYFORMULA(SINGLE(TEXTJOIN(""_"",TRUE,D264,G264))), 1, 1)"),"Donors Capital Fund_2016")</f>
        <v>Donors Capital Fund_2016</v>
      </c>
      <c r="D264" s="4" t="s">
        <v>10</v>
      </c>
      <c r="E264" s="8" t="s">
        <v>46</v>
      </c>
      <c r="F264" s="6">
        <v>165400</v>
      </c>
      <c r="G264" s="4">
        <v>2016</v>
      </c>
      <c r="H264" s="4" t="s">
        <v>361</v>
      </c>
    </row>
    <row r="265" spans="1:8" ht="15.75" customHeight="1" x14ac:dyDescent="0.2">
      <c r="A265" s="4">
        <v>990</v>
      </c>
      <c r="B265" s="4" t="str">
        <f t="shared" si="1"/>
        <v>Donors Capital Fund_State Policy Network2016170000</v>
      </c>
      <c r="C265" s="4" t="str">
        <f ca="1">IFERROR(__xludf.DUMMYFUNCTION("ARRAY_CONSTRAIN(ARRAYFORMULA(SINGLE(TEXTJOIN(""_"",TRUE,D265,G265))), 1, 1)"),"Donors Capital Fund_2016")</f>
        <v>Donors Capital Fund_2016</v>
      </c>
      <c r="D265" s="4" t="s">
        <v>10</v>
      </c>
      <c r="E265" s="8" t="s">
        <v>46</v>
      </c>
      <c r="F265" s="6">
        <v>170000</v>
      </c>
      <c r="G265" s="4">
        <v>2016</v>
      </c>
      <c r="H265" s="4" t="s">
        <v>361</v>
      </c>
    </row>
    <row r="266" spans="1:8" ht="15.75" customHeight="1" x14ac:dyDescent="0.2">
      <c r="A266" s="4">
        <v>990</v>
      </c>
      <c r="B266" s="4" t="str">
        <f t="shared" si="1"/>
        <v>Donors Capital Fund_State Policy Network20161744000</v>
      </c>
      <c r="C266" s="4" t="str">
        <f ca="1">IFERROR(__xludf.DUMMYFUNCTION("ARRAY_CONSTRAIN(ARRAYFORMULA(SINGLE(TEXTJOIN(""_"",TRUE,D266,G266))), 1, 1)"),"Donors Capital Fund_2016")</f>
        <v>Donors Capital Fund_2016</v>
      </c>
      <c r="D266" s="4" t="s">
        <v>10</v>
      </c>
      <c r="E266" s="8" t="s">
        <v>46</v>
      </c>
      <c r="F266" s="6">
        <v>1744000</v>
      </c>
      <c r="G266" s="4">
        <v>2016</v>
      </c>
      <c r="H266" s="4" t="s">
        <v>361</v>
      </c>
    </row>
    <row r="267" spans="1:8" ht="15.75" customHeight="1" x14ac:dyDescent="0.2">
      <c r="A267" s="4">
        <v>990</v>
      </c>
      <c r="B267" s="4" t="str">
        <f t="shared" si="1"/>
        <v>Donors Capital Fund_State Policy Network2016180000</v>
      </c>
      <c r="C267" s="4" t="str">
        <f ca="1">IFERROR(__xludf.DUMMYFUNCTION("ARRAY_CONSTRAIN(ARRAYFORMULA(SINGLE(TEXTJOIN(""_"",TRUE,D267,G267))), 1, 1)"),"Donors Capital Fund_2016")</f>
        <v>Donors Capital Fund_2016</v>
      </c>
      <c r="D267" s="4" t="s">
        <v>10</v>
      </c>
      <c r="E267" s="8" t="s">
        <v>46</v>
      </c>
      <c r="F267" s="6">
        <v>180000</v>
      </c>
      <c r="G267" s="4">
        <v>2016</v>
      </c>
      <c r="H267" s="4" t="s">
        <v>361</v>
      </c>
    </row>
    <row r="268" spans="1:8" ht="15.75" customHeight="1" x14ac:dyDescent="0.2">
      <c r="A268" s="4">
        <v>990</v>
      </c>
      <c r="B268" s="4" t="str">
        <f t="shared" si="1"/>
        <v>Donors Capital Fund_State Policy Network2016205000</v>
      </c>
      <c r="C268" s="4" t="str">
        <f ca="1">IFERROR(__xludf.DUMMYFUNCTION("ARRAY_CONSTRAIN(ARRAYFORMULA(SINGLE(TEXTJOIN(""_"",TRUE,D268,G268))), 1, 1)"),"Donors Capital Fund_2016")</f>
        <v>Donors Capital Fund_2016</v>
      </c>
      <c r="D268" s="4" t="s">
        <v>10</v>
      </c>
      <c r="E268" s="8" t="s">
        <v>46</v>
      </c>
      <c r="F268" s="6">
        <v>205000</v>
      </c>
      <c r="G268" s="4">
        <v>2016</v>
      </c>
      <c r="H268" s="4" t="s">
        <v>361</v>
      </c>
    </row>
    <row r="269" spans="1:8" ht="15.75" customHeight="1" x14ac:dyDescent="0.2">
      <c r="A269" s="4">
        <v>990</v>
      </c>
      <c r="B269" s="4" t="str">
        <f t="shared" si="1"/>
        <v>Donors Capital Fund_State Policy Network201621500</v>
      </c>
      <c r="C269" s="4" t="str">
        <f ca="1">IFERROR(__xludf.DUMMYFUNCTION("ARRAY_CONSTRAIN(ARRAYFORMULA(SINGLE(TEXTJOIN(""_"",TRUE,D269,G269))), 1, 1)"),"Donors Capital Fund_2016")</f>
        <v>Donors Capital Fund_2016</v>
      </c>
      <c r="D269" s="4" t="s">
        <v>10</v>
      </c>
      <c r="E269" s="8" t="s">
        <v>46</v>
      </c>
      <c r="F269" s="6">
        <v>21500</v>
      </c>
      <c r="G269" s="4">
        <v>2016</v>
      </c>
      <c r="H269" s="4" t="s">
        <v>361</v>
      </c>
    </row>
    <row r="270" spans="1:8" ht="15.75" customHeight="1" x14ac:dyDescent="0.2">
      <c r="A270" s="4">
        <v>990</v>
      </c>
      <c r="B270" s="4" t="str">
        <f t="shared" si="1"/>
        <v>Donors Capital Fund_State Policy Network2016304700</v>
      </c>
      <c r="C270" s="4" t="str">
        <f ca="1">IFERROR(__xludf.DUMMYFUNCTION("ARRAY_CONSTRAIN(ARRAYFORMULA(SINGLE(TEXTJOIN(""_"",TRUE,D270,G270))), 1, 1)"),"Donors Capital Fund_2016")</f>
        <v>Donors Capital Fund_2016</v>
      </c>
      <c r="D270" s="4" t="s">
        <v>10</v>
      </c>
      <c r="E270" s="8" t="s">
        <v>46</v>
      </c>
      <c r="F270" s="6">
        <v>304700</v>
      </c>
      <c r="G270" s="4">
        <v>2016</v>
      </c>
      <c r="H270" s="4" t="s">
        <v>361</v>
      </c>
    </row>
    <row r="271" spans="1:8" ht="15.75" customHeight="1" x14ac:dyDescent="0.2">
      <c r="A271" s="4">
        <v>990</v>
      </c>
      <c r="B271" s="4" t="str">
        <f t="shared" si="1"/>
        <v>Donors Capital Fund_State Policy Network2016326000</v>
      </c>
      <c r="C271" s="4" t="str">
        <f ca="1">IFERROR(__xludf.DUMMYFUNCTION("ARRAY_CONSTRAIN(ARRAYFORMULA(SINGLE(TEXTJOIN(""_"",TRUE,D271,G271))), 1, 1)"),"Donors Capital Fund_2016")</f>
        <v>Donors Capital Fund_2016</v>
      </c>
      <c r="D271" s="4" t="s">
        <v>10</v>
      </c>
      <c r="E271" s="8" t="s">
        <v>46</v>
      </c>
      <c r="F271" s="6">
        <v>326000</v>
      </c>
      <c r="G271" s="4">
        <v>2016</v>
      </c>
      <c r="H271" s="4" t="s">
        <v>361</v>
      </c>
    </row>
    <row r="272" spans="1:8" ht="15.75" customHeight="1" x14ac:dyDescent="0.2">
      <c r="A272" s="4">
        <v>990</v>
      </c>
      <c r="B272" s="4" t="str">
        <f t="shared" si="1"/>
        <v>Donors Capital Fund_State Policy Network2016390200</v>
      </c>
      <c r="C272" s="4" t="str">
        <f ca="1">IFERROR(__xludf.DUMMYFUNCTION("ARRAY_CONSTRAIN(ARRAYFORMULA(SINGLE(TEXTJOIN(""_"",TRUE,D272,G272))), 1, 1)"),"Donors Capital Fund_2016")</f>
        <v>Donors Capital Fund_2016</v>
      </c>
      <c r="D272" s="4" t="s">
        <v>10</v>
      </c>
      <c r="E272" s="8" t="s">
        <v>46</v>
      </c>
      <c r="F272" s="6">
        <v>390200</v>
      </c>
      <c r="G272" s="4">
        <v>2016</v>
      </c>
      <c r="H272" s="4" t="s">
        <v>361</v>
      </c>
    </row>
    <row r="273" spans="1:8" ht="15.75" customHeight="1" x14ac:dyDescent="0.2">
      <c r="A273" s="4">
        <v>990</v>
      </c>
      <c r="B273" s="4" t="str">
        <f t="shared" si="1"/>
        <v>Donors Capital Fund_State Policy Network201640000</v>
      </c>
      <c r="C273" s="4" t="str">
        <f ca="1">IFERROR(__xludf.DUMMYFUNCTION("ARRAY_CONSTRAIN(ARRAYFORMULA(SINGLE(TEXTJOIN(""_"",TRUE,D273,G273))), 1, 1)"),"Donors Capital Fund_2016")</f>
        <v>Donors Capital Fund_2016</v>
      </c>
      <c r="D273" s="4" t="s">
        <v>10</v>
      </c>
      <c r="E273" s="8" t="s">
        <v>46</v>
      </c>
      <c r="F273" s="6">
        <v>40000</v>
      </c>
      <c r="G273" s="4">
        <v>2016</v>
      </c>
      <c r="H273" s="4" t="s">
        <v>361</v>
      </c>
    </row>
    <row r="274" spans="1:8" ht="15.75" customHeight="1" x14ac:dyDescent="0.2">
      <c r="A274" s="4">
        <v>990</v>
      </c>
      <c r="B274" s="4" t="str">
        <f t="shared" si="1"/>
        <v>Donors Capital Fund_State Policy Network201645000</v>
      </c>
      <c r="C274" s="4" t="str">
        <f ca="1">IFERROR(__xludf.DUMMYFUNCTION("ARRAY_CONSTRAIN(ARRAYFORMULA(SINGLE(TEXTJOIN(""_"",TRUE,D274,G274))), 1, 1)"),"Donors Capital Fund_2016")</f>
        <v>Donors Capital Fund_2016</v>
      </c>
      <c r="D274" s="4" t="s">
        <v>10</v>
      </c>
      <c r="E274" s="8" t="s">
        <v>46</v>
      </c>
      <c r="F274" s="6">
        <v>45000</v>
      </c>
      <c r="G274" s="4">
        <v>2016</v>
      </c>
      <c r="H274" s="4" t="s">
        <v>361</v>
      </c>
    </row>
    <row r="275" spans="1:8" ht="15.75" customHeight="1" x14ac:dyDescent="0.2">
      <c r="A275" s="4">
        <v>990</v>
      </c>
      <c r="B275" s="4" t="str">
        <f t="shared" si="1"/>
        <v>Donors Capital Fund_State Policy Network2016552000</v>
      </c>
      <c r="C275" s="4" t="str">
        <f ca="1">IFERROR(__xludf.DUMMYFUNCTION("ARRAY_CONSTRAIN(ARRAYFORMULA(SINGLE(TEXTJOIN(""_"",TRUE,D275,G275))), 1, 1)"),"Donors Capital Fund_2016")</f>
        <v>Donors Capital Fund_2016</v>
      </c>
      <c r="D275" s="4" t="s">
        <v>10</v>
      </c>
      <c r="E275" s="8" t="s">
        <v>46</v>
      </c>
      <c r="F275" s="6">
        <v>552000</v>
      </c>
      <c r="G275" s="4">
        <v>2016</v>
      </c>
      <c r="H275" s="4" t="s">
        <v>361</v>
      </c>
    </row>
    <row r="276" spans="1:8" ht="15.75" customHeight="1" x14ac:dyDescent="0.2">
      <c r="A276" s="4">
        <v>990</v>
      </c>
      <c r="B276" s="4" t="str">
        <f t="shared" si="1"/>
        <v>Donors Capital Fund_State Policy Network2016717500</v>
      </c>
      <c r="C276" s="4" t="str">
        <f ca="1">IFERROR(__xludf.DUMMYFUNCTION("ARRAY_CONSTRAIN(ARRAYFORMULA(SINGLE(TEXTJOIN(""_"",TRUE,D276,G276))), 1, 1)"),"Donors Capital Fund_2016")</f>
        <v>Donors Capital Fund_2016</v>
      </c>
      <c r="D276" s="4" t="s">
        <v>10</v>
      </c>
      <c r="E276" s="8" t="s">
        <v>46</v>
      </c>
      <c r="F276" s="6">
        <v>717500</v>
      </c>
      <c r="G276" s="4">
        <v>2016</v>
      </c>
      <c r="H276" s="4" t="s">
        <v>361</v>
      </c>
    </row>
    <row r="277" spans="1:8" ht="15.75" customHeight="1" x14ac:dyDescent="0.2">
      <c r="A277" s="4">
        <v>990</v>
      </c>
      <c r="B277" s="4" t="str">
        <f t="shared" si="1"/>
        <v>Donors Capital Fund_State Policy Network20167200</v>
      </c>
      <c r="C277" s="4" t="str">
        <f ca="1">IFERROR(__xludf.DUMMYFUNCTION("ARRAY_CONSTRAIN(ARRAYFORMULA(SINGLE(TEXTJOIN(""_"",TRUE,D277,G277))), 1, 1)"),"Donors Capital Fund_2016")</f>
        <v>Donors Capital Fund_2016</v>
      </c>
      <c r="D277" s="4" t="s">
        <v>10</v>
      </c>
      <c r="E277" s="8" t="s">
        <v>46</v>
      </c>
      <c r="F277" s="6">
        <v>7200</v>
      </c>
      <c r="G277" s="4">
        <v>2016</v>
      </c>
      <c r="H277" s="4" t="s">
        <v>361</v>
      </c>
    </row>
    <row r="278" spans="1:8" ht="15.75" customHeight="1" x14ac:dyDescent="0.2">
      <c r="A278" s="4">
        <v>990</v>
      </c>
      <c r="B278" s="4" t="str">
        <f t="shared" si="1"/>
        <v>Donors Capital Fund_State Policy Network201675000</v>
      </c>
      <c r="C278" s="4" t="str">
        <f ca="1">IFERROR(__xludf.DUMMYFUNCTION("ARRAY_CONSTRAIN(ARRAYFORMULA(SINGLE(TEXTJOIN(""_"",TRUE,D278,G278))), 1, 1)"),"Donors Capital Fund_2016")</f>
        <v>Donors Capital Fund_2016</v>
      </c>
      <c r="D278" s="4" t="s">
        <v>10</v>
      </c>
      <c r="E278" s="8" t="s">
        <v>46</v>
      </c>
      <c r="F278" s="6">
        <v>75000</v>
      </c>
      <c r="G278" s="4">
        <v>2016</v>
      </c>
      <c r="H278" s="4" t="s">
        <v>361</v>
      </c>
    </row>
    <row r="279" spans="1:8" ht="15.75" customHeight="1" x14ac:dyDescent="0.2">
      <c r="A279" s="4">
        <v>990</v>
      </c>
      <c r="B279" s="4" t="str">
        <f t="shared" si="1"/>
        <v>Donors Capital Fund_State Policy Network20151000000</v>
      </c>
      <c r="C279" s="4" t="str">
        <f ca="1">IFERROR(__xludf.DUMMYFUNCTION("ARRAY_CONSTRAIN(ARRAYFORMULA(SINGLE(TEXTJOIN(""_"",TRUE,D279,G279))), 1, 1)"),"Donors Capital Fund_2015")</f>
        <v>Donors Capital Fund_2015</v>
      </c>
      <c r="D279" s="4" t="s">
        <v>10</v>
      </c>
      <c r="E279" s="8" t="s">
        <v>46</v>
      </c>
      <c r="F279" s="6">
        <v>1000000</v>
      </c>
      <c r="G279" s="4">
        <v>2015</v>
      </c>
      <c r="H279" s="4" t="s">
        <v>361</v>
      </c>
    </row>
    <row r="280" spans="1:8" ht="15.75" customHeight="1" x14ac:dyDescent="0.2">
      <c r="A280" s="4">
        <v>990</v>
      </c>
      <c r="B280" s="4" t="str">
        <f t="shared" si="1"/>
        <v>Donors Capital Fund_State Policy Network2015112000</v>
      </c>
      <c r="C280" s="4" t="str">
        <f ca="1">IFERROR(__xludf.DUMMYFUNCTION("ARRAY_CONSTRAIN(ARRAYFORMULA(SINGLE(TEXTJOIN(""_"",TRUE,D280,G280))), 1, 1)"),"Donors Capital Fund_2015")</f>
        <v>Donors Capital Fund_2015</v>
      </c>
      <c r="D280" s="4" t="s">
        <v>10</v>
      </c>
      <c r="E280" s="8" t="s">
        <v>46</v>
      </c>
      <c r="F280" s="6">
        <v>112000</v>
      </c>
      <c r="G280" s="4">
        <v>2015</v>
      </c>
      <c r="H280" s="4" t="s">
        <v>361</v>
      </c>
    </row>
    <row r="281" spans="1:8" ht="15.75" customHeight="1" x14ac:dyDescent="0.2">
      <c r="A281" s="4">
        <v>990</v>
      </c>
      <c r="B281" s="4" t="str">
        <f t="shared" si="1"/>
        <v>Donors Capital Fund_State Policy Network2015113400</v>
      </c>
      <c r="C281" s="4" t="str">
        <f ca="1">IFERROR(__xludf.DUMMYFUNCTION("ARRAY_CONSTRAIN(ARRAYFORMULA(SINGLE(TEXTJOIN(""_"",TRUE,D281,G281))), 1, 1)"),"Donors Capital Fund_2015")</f>
        <v>Donors Capital Fund_2015</v>
      </c>
      <c r="D281" s="4" t="s">
        <v>10</v>
      </c>
      <c r="E281" s="8" t="s">
        <v>46</v>
      </c>
      <c r="F281" s="6">
        <v>113400</v>
      </c>
      <c r="G281" s="4">
        <v>2015</v>
      </c>
      <c r="H281" s="4" t="s">
        <v>361</v>
      </c>
    </row>
    <row r="282" spans="1:8" ht="15.75" customHeight="1" x14ac:dyDescent="0.2">
      <c r="A282" s="4">
        <v>990</v>
      </c>
      <c r="B282" s="4" t="str">
        <f t="shared" si="1"/>
        <v>Donors Capital Fund_State Policy Network201512860</v>
      </c>
      <c r="C282" s="4" t="str">
        <f ca="1">IFERROR(__xludf.DUMMYFUNCTION("ARRAY_CONSTRAIN(ARRAYFORMULA(SINGLE(TEXTJOIN(""_"",TRUE,D282,G282))), 1, 1)"),"Donors Capital Fund_2015")</f>
        <v>Donors Capital Fund_2015</v>
      </c>
      <c r="D282" s="4" t="s">
        <v>10</v>
      </c>
      <c r="E282" s="8" t="s">
        <v>46</v>
      </c>
      <c r="F282" s="6">
        <v>12860</v>
      </c>
      <c r="G282" s="4">
        <v>2015</v>
      </c>
      <c r="H282" s="4" t="s">
        <v>361</v>
      </c>
    </row>
    <row r="283" spans="1:8" ht="15.75" customHeight="1" x14ac:dyDescent="0.2">
      <c r="A283" s="4">
        <v>990</v>
      </c>
      <c r="B283" s="4" t="str">
        <f t="shared" si="1"/>
        <v>Donors Capital Fund_State Policy Network2015184500</v>
      </c>
      <c r="C283" s="4" t="str">
        <f ca="1">IFERROR(__xludf.DUMMYFUNCTION("ARRAY_CONSTRAIN(ARRAYFORMULA(SINGLE(TEXTJOIN(""_"",TRUE,D283,G283))), 1, 1)"),"Donors Capital Fund_2015")</f>
        <v>Donors Capital Fund_2015</v>
      </c>
      <c r="D283" s="4" t="s">
        <v>10</v>
      </c>
      <c r="E283" s="8" t="s">
        <v>46</v>
      </c>
      <c r="F283" s="6">
        <v>184500</v>
      </c>
      <c r="G283" s="4">
        <v>2015</v>
      </c>
      <c r="H283" s="4" t="s">
        <v>361</v>
      </c>
    </row>
    <row r="284" spans="1:8" ht="15.75" customHeight="1" x14ac:dyDescent="0.2">
      <c r="A284" s="4">
        <v>990</v>
      </c>
      <c r="B284" s="4" t="str">
        <f t="shared" si="1"/>
        <v>Donors Capital Fund_State Policy Network201520000</v>
      </c>
      <c r="C284" s="4" t="str">
        <f ca="1">IFERROR(__xludf.DUMMYFUNCTION("ARRAY_CONSTRAIN(ARRAYFORMULA(SINGLE(TEXTJOIN(""_"",TRUE,D284,G284))), 1, 1)"),"Donors Capital Fund_2015")</f>
        <v>Donors Capital Fund_2015</v>
      </c>
      <c r="D284" s="4" t="s">
        <v>10</v>
      </c>
      <c r="E284" s="8" t="s">
        <v>46</v>
      </c>
      <c r="F284" s="6">
        <v>20000</v>
      </c>
      <c r="G284" s="4">
        <v>2015</v>
      </c>
      <c r="H284" s="4" t="s">
        <v>361</v>
      </c>
    </row>
    <row r="285" spans="1:8" ht="15.75" customHeight="1" x14ac:dyDescent="0.2">
      <c r="A285" s="4">
        <v>990</v>
      </c>
      <c r="B285" s="4" t="str">
        <f t="shared" si="1"/>
        <v>Donors Capital Fund_State Policy Network201520000</v>
      </c>
      <c r="C285" s="4" t="str">
        <f ca="1">IFERROR(__xludf.DUMMYFUNCTION("ARRAY_CONSTRAIN(ARRAYFORMULA(SINGLE(TEXTJOIN(""_"",TRUE,D285,G285))), 1, 1)"),"Donors Capital Fund_2015")</f>
        <v>Donors Capital Fund_2015</v>
      </c>
      <c r="D285" s="4" t="s">
        <v>10</v>
      </c>
      <c r="E285" s="8" t="s">
        <v>46</v>
      </c>
      <c r="F285" s="6">
        <v>20000</v>
      </c>
      <c r="G285" s="4">
        <v>2015</v>
      </c>
      <c r="H285" s="4" t="s">
        <v>361</v>
      </c>
    </row>
    <row r="286" spans="1:8" ht="15.75" customHeight="1" x14ac:dyDescent="0.2">
      <c r="A286" s="4">
        <v>990</v>
      </c>
      <c r="B286" s="4" t="str">
        <f t="shared" si="1"/>
        <v>Donors Capital Fund_State Policy Network2015202400</v>
      </c>
      <c r="C286" s="4" t="str">
        <f ca="1">IFERROR(__xludf.DUMMYFUNCTION("ARRAY_CONSTRAIN(ARRAYFORMULA(SINGLE(TEXTJOIN(""_"",TRUE,D286,G286))), 1, 1)"),"Donors Capital Fund_2015")</f>
        <v>Donors Capital Fund_2015</v>
      </c>
      <c r="D286" s="4" t="s">
        <v>10</v>
      </c>
      <c r="E286" s="8" t="s">
        <v>46</v>
      </c>
      <c r="F286" s="6">
        <v>202400</v>
      </c>
      <c r="G286" s="4">
        <v>2015</v>
      </c>
      <c r="H286" s="4" t="s">
        <v>361</v>
      </c>
    </row>
    <row r="287" spans="1:8" ht="15.75" customHeight="1" x14ac:dyDescent="0.2">
      <c r="A287" s="4">
        <v>990</v>
      </c>
      <c r="B287" s="4" t="str">
        <f t="shared" si="1"/>
        <v>Donors Capital Fund_State Policy Network2015215000</v>
      </c>
      <c r="C287" s="4" t="str">
        <f ca="1">IFERROR(__xludf.DUMMYFUNCTION("ARRAY_CONSTRAIN(ARRAYFORMULA(SINGLE(TEXTJOIN(""_"",TRUE,D287,G287))), 1, 1)"),"Donors Capital Fund_2015")</f>
        <v>Donors Capital Fund_2015</v>
      </c>
      <c r="D287" s="4" t="s">
        <v>10</v>
      </c>
      <c r="E287" s="8" t="s">
        <v>46</v>
      </c>
      <c r="F287" s="6">
        <v>215000</v>
      </c>
      <c r="G287" s="4">
        <v>2015</v>
      </c>
      <c r="H287" s="4" t="s">
        <v>361</v>
      </c>
    </row>
    <row r="288" spans="1:8" ht="15.75" customHeight="1" x14ac:dyDescent="0.2">
      <c r="A288" s="4">
        <v>990</v>
      </c>
      <c r="B288" s="4" t="str">
        <f t="shared" si="1"/>
        <v>Donors Capital Fund_State Policy Network2015256000</v>
      </c>
      <c r="C288" s="4" t="str">
        <f ca="1">IFERROR(__xludf.DUMMYFUNCTION("ARRAY_CONSTRAIN(ARRAYFORMULA(SINGLE(TEXTJOIN(""_"",TRUE,D288,G288))), 1, 1)"),"Donors Capital Fund_2015")</f>
        <v>Donors Capital Fund_2015</v>
      </c>
      <c r="D288" s="4" t="s">
        <v>10</v>
      </c>
      <c r="E288" s="8" t="s">
        <v>46</v>
      </c>
      <c r="F288" s="6">
        <v>256000</v>
      </c>
      <c r="G288" s="4">
        <v>2015</v>
      </c>
      <c r="H288" s="4" t="s">
        <v>361</v>
      </c>
    </row>
    <row r="289" spans="1:9" ht="15.75" customHeight="1" x14ac:dyDescent="0.2">
      <c r="A289" s="4">
        <v>990</v>
      </c>
      <c r="B289" s="4" t="str">
        <f t="shared" si="1"/>
        <v>Donors Capital Fund_State Policy Network2015276000</v>
      </c>
      <c r="C289" s="4" t="str">
        <f ca="1">IFERROR(__xludf.DUMMYFUNCTION("ARRAY_CONSTRAIN(ARRAYFORMULA(SINGLE(TEXTJOIN(""_"",TRUE,D289,G289))), 1, 1)"),"Donors Capital Fund_2015")</f>
        <v>Donors Capital Fund_2015</v>
      </c>
      <c r="D289" s="4" t="s">
        <v>10</v>
      </c>
      <c r="E289" s="8" t="s">
        <v>46</v>
      </c>
      <c r="F289" s="6">
        <v>276000</v>
      </c>
      <c r="G289" s="4">
        <v>2015</v>
      </c>
      <c r="H289" s="4" t="s">
        <v>361</v>
      </c>
    </row>
    <row r="290" spans="1:9" ht="15.75" customHeight="1" x14ac:dyDescent="0.2">
      <c r="A290" s="4">
        <v>990</v>
      </c>
      <c r="B290" s="4" t="str">
        <f t="shared" si="1"/>
        <v>Donors Capital Fund_State Policy Network201540000</v>
      </c>
      <c r="C290" s="4" t="str">
        <f ca="1">IFERROR(__xludf.DUMMYFUNCTION("ARRAY_CONSTRAIN(ARRAYFORMULA(SINGLE(TEXTJOIN(""_"",TRUE,D290,G290))), 1, 1)"),"Donors Capital Fund_2015")</f>
        <v>Donors Capital Fund_2015</v>
      </c>
      <c r="D290" s="4" t="s">
        <v>10</v>
      </c>
      <c r="E290" s="8" t="s">
        <v>46</v>
      </c>
      <c r="F290" s="6">
        <v>40000</v>
      </c>
      <c r="G290" s="4">
        <v>2015</v>
      </c>
      <c r="H290" s="4" t="s">
        <v>361</v>
      </c>
      <c r="I290" s="6"/>
    </row>
    <row r="291" spans="1:9" ht="15.75" customHeight="1" x14ac:dyDescent="0.2">
      <c r="A291" s="4">
        <v>990</v>
      </c>
      <c r="B291" s="4" t="str">
        <f t="shared" si="1"/>
        <v>Donors Capital Fund_State Policy Network201540000</v>
      </c>
      <c r="C291" s="4" t="str">
        <f ca="1">IFERROR(__xludf.DUMMYFUNCTION("ARRAY_CONSTRAIN(ARRAYFORMULA(SINGLE(TEXTJOIN(""_"",TRUE,D291,G291))), 1, 1)"),"Donors Capital Fund_2015")</f>
        <v>Donors Capital Fund_2015</v>
      </c>
      <c r="D291" s="4" t="s">
        <v>10</v>
      </c>
      <c r="E291" s="8" t="s">
        <v>46</v>
      </c>
      <c r="F291" s="6">
        <v>40000</v>
      </c>
      <c r="G291" s="4">
        <v>2015</v>
      </c>
      <c r="H291" s="4" t="s">
        <v>361</v>
      </c>
    </row>
    <row r="292" spans="1:9" ht="15.75" customHeight="1" x14ac:dyDescent="0.2">
      <c r="A292" s="4">
        <v>990</v>
      </c>
      <c r="B292" s="4" t="str">
        <f t="shared" si="1"/>
        <v>Donors Capital Fund_State Policy Network2015412500</v>
      </c>
      <c r="C292" s="4" t="str">
        <f ca="1">IFERROR(__xludf.DUMMYFUNCTION("ARRAY_CONSTRAIN(ARRAYFORMULA(SINGLE(TEXTJOIN(""_"",TRUE,D292,G292))), 1, 1)"),"Donors Capital Fund_2015")</f>
        <v>Donors Capital Fund_2015</v>
      </c>
      <c r="D292" s="4" t="s">
        <v>10</v>
      </c>
      <c r="E292" s="8" t="s">
        <v>46</v>
      </c>
      <c r="F292" s="6">
        <v>412500</v>
      </c>
      <c r="G292" s="4">
        <v>2015</v>
      </c>
      <c r="H292" s="4" t="s">
        <v>361</v>
      </c>
    </row>
    <row r="293" spans="1:9" ht="15.75" customHeight="1" x14ac:dyDescent="0.2">
      <c r="A293" s="4">
        <v>990</v>
      </c>
      <c r="B293" s="4" t="str">
        <f t="shared" si="1"/>
        <v>Donors Capital Fund_State Policy Network2015446400</v>
      </c>
      <c r="C293" s="4" t="str">
        <f ca="1">IFERROR(__xludf.DUMMYFUNCTION("ARRAY_CONSTRAIN(ARRAYFORMULA(SINGLE(TEXTJOIN(""_"",TRUE,D293,G293))), 1, 1)"),"Donors Capital Fund_2015")</f>
        <v>Donors Capital Fund_2015</v>
      </c>
      <c r="D293" s="4" t="s">
        <v>10</v>
      </c>
      <c r="E293" s="8" t="s">
        <v>46</v>
      </c>
      <c r="F293" s="6">
        <v>446400</v>
      </c>
      <c r="G293" s="4">
        <v>2015</v>
      </c>
      <c r="H293" s="4" t="s">
        <v>361</v>
      </c>
    </row>
    <row r="294" spans="1:9" ht="15.75" customHeight="1" x14ac:dyDescent="0.2">
      <c r="A294" s="4">
        <v>990</v>
      </c>
      <c r="B294" s="4" t="str">
        <f t="shared" si="1"/>
        <v>Donors Capital Fund_State Policy Network20155000</v>
      </c>
      <c r="C294" s="4" t="str">
        <f ca="1">IFERROR(__xludf.DUMMYFUNCTION("ARRAY_CONSTRAIN(ARRAYFORMULA(SINGLE(TEXTJOIN(""_"",TRUE,D294,G294))), 1, 1)"),"Donors Capital Fund_2015")</f>
        <v>Donors Capital Fund_2015</v>
      </c>
      <c r="D294" s="4" t="s">
        <v>10</v>
      </c>
      <c r="E294" s="8" t="s">
        <v>46</v>
      </c>
      <c r="F294" s="6">
        <v>5000</v>
      </c>
      <c r="G294" s="4">
        <v>2015</v>
      </c>
      <c r="H294" s="4" t="s">
        <v>361</v>
      </c>
    </row>
    <row r="295" spans="1:9" ht="15.75" customHeight="1" x14ac:dyDescent="0.2">
      <c r="A295" s="4">
        <v>990</v>
      </c>
      <c r="B295" s="4" t="str">
        <f t="shared" si="1"/>
        <v>Donors Capital Fund_State Policy Network2015563300</v>
      </c>
      <c r="C295" s="4" t="str">
        <f ca="1">IFERROR(__xludf.DUMMYFUNCTION("ARRAY_CONSTRAIN(ARRAYFORMULA(SINGLE(TEXTJOIN(""_"",TRUE,D295,G295))), 1, 1)"),"Donors Capital Fund_2015")</f>
        <v>Donors Capital Fund_2015</v>
      </c>
      <c r="D295" s="4" t="s">
        <v>10</v>
      </c>
      <c r="E295" s="8" t="s">
        <v>46</v>
      </c>
      <c r="F295" s="6">
        <v>563300</v>
      </c>
      <c r="G295" s="4">
        <v>2015</v>
      </c>
      <c r="H295" s="4" t="s">
        <v>361</v>
      </c>
    </row>
    <row r="296" spans="1:9" ht="15.75" customHeight="1" x14ac:dyDescent="0.2">
      <c r="A296" s="4">
        <v>990</v>
      </c>
      <c r="B296" s="4" t="str">
        <f t="shared" si="1"/>
        <v>Donors Capital Fund_State Policy Network201562000</v>
      </c>
      <c r="C296" s="4" t="str">
        <f ca="1">IFERROR(__xludf.DUMMYFUNCTION("ARRAY_CONSTRAIN(ARRAYFORMULA(SINGLE(TEXTJOIN(""_"",TRUE,D296,G296))), 1, 1)"),"Donors Capital Fund_2015")</f>
        <v>Donors Capital Fund_2015</v>
      </c>
      <c r="D296" s="4" t="s">
        <v>10</v>
      </c>
      <c r="E296" s="8" t="s">
        <v>46</v>
      </c>
      <c r="F296" s="6">
        <v>62000</v>
      </c>
      <c r="G296" s="4">
        <v>2015</v>
      </c>
      <c r="H296" s="4" t="s">
        <v>361</v>
      </c>
    </row>
    <row r="297" spans="1:9" ht="15.75" customHeight="1" x14ac:dyDescent="0.2">
      <c r="A297" s="4">
        <v>990</v>
      </c>
      <c r="B297" s="4" t="str">
        <f t="shared" si="1"/>
        <v>Donors Capital Fund_State Policy Network20157500</v>
      </c>
      <c r="C297" s="4" t="str">
        <f ca="1">IFERROR(__xludf.DUMMYFUNCTION("ARRAY_CONSTRAIN(ARRAYFORMULA(SINGLE(TEXTJOIN(""_"",TRUE,D297,G297))), 1, 1)"),"Donors Capital Fund_2015")</f>
        <v>Donors Capital Fund_2015</v>
      </c>
      <c r="D297" s="4" t="s">
        <v>10</v>
      </c>
      <c r="E297" s="8" t="s">
        <v>46</v>
      </c>
      <c r="F297" s="6">
        <v>7500</v>
      </c>
      <c r="G297" s="4">
        <v>2015</v>
      </c>
      <c r="H297" s="4" t="s">
        <v>361</v>
      </c>
    </row>
    <row r="298" spans="1:9" ht="15.75" customHeight="1" x14ac:dyDescent="0.2">
      <c r="A298" s="4">
        <v>990</v>
      </c>
      <c r="B298" s="4" t="str">
        <f t="shared" si="1"/>
        <v>Donors Capital Fund_State Policy Network20158000</v>
      </c>
      <c r="C298" s="4" t="str">
        <f ca="1">IFERROR(__xludf.DUMMYFUNCTION("ARRAY_CONSTRAIN(ARRAYFORMULA(SINGLE(TEXTJOIN(""_"",TRUE,D298,G298))), 1, 1)"),"Donors Capital Fund_2015")</f>
        <v>Donors Capital Fund_2015</v>
      </c>
      <c r="D298" s="4" t="s">
        <v>10</v>
      </c>
      <c r="E298" s="8" t="s">
        <v>46</v>
      </c>
      <c r="F298" s="6">
        <v>8000</v>
      </c>
      <c r="G298" s="4">
        <v>2015</v>
      </c>
      <c r="H298" s="4" t="s">
        <v>361</v>
      </c>
    </row>
    <row r="299" spans="1:9" ht="15.75" customHeight="1" x14ac:dyDescent="0.2">
      <c r="A299" s="4" t="s">
        <v>368</v>
      </c>
      <c r="B299" s="4" t="str">
        <f t="shared" si="1"/>
        <v>Donors Capital Fund_State Policy Network201410000</v>
      </c>
      <c r="C299" s="4" t="str">
        <f ca="1">IFERROR(__xludf.DUMMYFUNCTION("ARRAY_CONSTRAIN(ARRAYFORMULA(SINGLE(TEXTJOIN(""_"",TRUE,D299,G299))), 1, 1)"),"Donors Capital Fund_2014")</f>
        <v>Donors Capital Fund_2014</v>
      </c>
      <c r="D299" s="4" t="s">
        <v>10</v>
      </c>
      <c r="E299" s="8" t="s">
        <v>46</v>
      </c>
      <c r="F299" s="6">
        <v>10000</v>
      </c>
      <c r="G299" s="4">
        <v>2014</v>
      </c>
      <c r="H299" s="4" t="s">
        <v>359</v>
      </c>
    </row>
    <row r="300" spans="1:9" ht="15.75" customHeight="1" x14ac:dyDescent="0.2">
      <c r="A300" s="4" t="s">
        <v>368</v>
      </c>
      <c r="B300" s="4" t="str">
        <f t="shared" si="1"/>
        <v>Donors Capital Fund_State Policy Network20141080000</v>
      </c>
      <c r="C300" s="4" t="str">
        <f ca="1">IFERROR(__xludf.DUMMYFUNCTION("ARRAY_CONSTRAIN(ARRAYFORMULA(SINGLE(TEXTJOIN(""_"",TRUE,D300,G300))), 1, 1)"),"Donors Capital Fund_2014")</f>
        <v>Donors Capital Fund_2014</v>
      </c>
      <c r="D300" s="4" t="s">
        <v>10</v>
      </c>
      <c r="E300" s="8" t="s">
        <v>46</v>
      </c>
      <c r="F300" s="6">
        <v>1080000</v>
      </c>
      <c r="G300" s="4">
        <v>2014</v>
      </c>
      <c r="H300" s="4" t="s">
        <v>359</v>
      </c>
    </row>
    <row r="301" spans="1:9" ht="15.75" customHeight="1" x14ac:dyDescent="0.2">
      <c r="A301" s="4" t="s">
        <v>368</v>
      </c>
      <c r="B301" s="4" t="str">
        <f t="shared" si="1"/>
        <v>Donors Capital Fund_State Policy Network2014132700</v>
      </c>
      <c r="C301" s="4" t="str">
        <f ca="1">IFERROR(__xludf.DUMMYFUNCTION("ARRAY_CONSTRAIN(ARRAYFORMULA(SINGLE(TEXTJOIN(""_"",TRUE,D301,G301))), 1, 1)"),"Donors Capital Fund_2014")</f>
        <v>Donors Capital Fund_2014</v>
      </c>
      <c r="D301" s="4" t="s">
        <v>10</v>
      </c>
      <c r="E301" s="8" t="s">
        <v>46</v>
      </c>
      <c r="F301" s="6">
        <v>132700</v>
      </c>
      <c r="G301" s="4">
        <v>2014</v>
      </c>
      <c r="H301" s="4" t="s">
        <v>359</v>
      </c>
    </row>
    <row r="302" spans="1:9" ht="15.75" customHeight="1" x14ac:dyDescent="0.2">
      <c r="A302" s="4" t="s">
        <v>368</v>
      </c>
      <c r="B302" s="4" t="str">
        <f t="shared" si="1"/>
        <v>Donors Capital Fund_State Policy Network2014150000</v>
      </c>
      <c r="C302" s="4" t="str">
        <f ca="1">IFERROR(__xludf.DUMMYFUNCTION("ARRAY_CONSTRAIN(ARRAYFORMULA(SINGLE(TEXTJOIN(""_"",TRUE,D302,G302))), 1, 1)"),"Donors Capital Fund_2014")</f>
        <v>Donors Capital Fund_2014</v>
      </c>
      <c r="D302" s="4" t="s">
        <v>10</v>
      </c>
      <c r="E302" s="8" t="s">
        <v>46</v>
      </c>
      <c r="F302" s="6">
        <v>150000</v>
      </c>
      <c r="G302" s="4">
        <v>2014</v>
      </c>
      <c r="H302" s="4" t="s">
        <v>359</v>
      </c>
    </row>
    <row r="303" spans="1:9" ht="15.75" customHeight="1" x14ac:dyDescent="0.2">
      <c r="A303" s="4" t="s">
        <v>368</v>
      </c>
      <c r="B303" s="4" t="str">
        <f t="shared" si="1"/>
        <v>Donors Capital Fund_State Policy Network2014200000</v>
      </c>
      <c r="C303" s="4" t="str">
        <f ca="1">IFERROR(__xludf.DUMMYFUNCTION("ARRAY_CONSTRAIN(ARRAYFORMULA(SINGLE(TEXTJOIN(""_"",TRUE,D303,G303))), 1, 1)"),"Donors Capital Fund_2014")</f>
        <v>Donors Capital Fund_2014</v>
      </c>
      <c r="D303" s="4" t="s">
        <v>10</v>
      </c>
      <c r="E303" s="8" t="s">
        <v>46</v>
      </c>
      <c r="F303" s="6">
        <v>200000</v>
      </c>
      <c r="G303" s="4">
        <v>2014</v>
      </c>
      <c r="H303" s="4" t="s">
        <v>359</v>
      </c>
    </row>
    <row r="304" spans="1:9" ht="15.75" customHeight="1" x14ac:dyDescent="0.2">
      <c r="A304" s="4" t="s">
        <v>368</v>
      </c>
      <c r="B304" s="4" t="str">
        <f t="shared" si="1"/>
        <v>Donors Capital Fund_State Policy Network201425000</v>
      </c>
      <c r="C304" s="4" t="str">
        <f ca="1">IFERROR(__xludf.DUMMYFUNCTION("ARRAY_CONSTRAIN(ARRAYFORMULA(SINGLE(TEXTJOIN(""_"",TRUE,D304,G304))), 1, 1)"),"Donors Capital Fund_2014")</f>
        <v>Donors Capital Fund_2014</v>
      </c>
      <c r="D304" s="4" t="s">
        <v>10</v>
      </c>
      <c r="E304" s="8" t="s">
        <v>46</v>
      </c>
      <c r="F304" s="6">
        <v>25000</v>
      </c>
      <c r="G304" s="4">
        <v>2014</v>
      </c>
      <c r="H304" s="4" t="s">
        <v>359</v>
      </c>
    </row>
    <row r="305" spans="1:8" ht="15.75" customHeight="1" x14ac:dyDescent="0.2">
      <c r="A305" s="4" t="s">
        <v>368</v>
      </c>
      <c r="B305" s="4" t="str">
        <f t="shared" si="1"/>
        <v>Donors Capital Fund_State Policy Network2014275200</v>
      </c>
      <c r="C305" s="4" t="str">
        <f ca="1">IFERROR(__xludf.DUMMYFUNCTION("ARRAY_CONSTRAIN(ARRAYFORMULA(SINGLE(TEXTJOIN(""_"",TRUE,D305,G305))), 1, 1)"),"Donors Capital Fund_2014")</f>
        <v>Donors Capital Fund_2014</v>
      </c>
      <c r="D305" s="4" t="s">
        <v>10</v>
      </c>
      <c r="E305" s="8" t="s">
        <v>46</v>
      </c>
      <c r="F305" s="6">
        <v>275200</v>
      </c>
      <c r="G305" s="4">
        <v>2014</v>
      </c>
      <c r="H305" s="4" t="s">
        <v>359</v>
      </c>
    </row>
    <row r="306" spans="1:8" ht="15.75" customHeight="1" x14ac:dyDescent="0.2">
      <c r="A306" s="4" t="s">
        <v>368</v>
      </c>
      <c r="B306" s="4" t="str">
        <f t="shared" si="1"/>
        <v>Donors Capital Fund_State Policy Network201430500</v>
      </c>
      <c r="C306" s="4" t="str">
        <f ca="1">IFERROR(__xludf.DUMMYFUNCTION("ARRAY_CONSTRAIN(ARRAYFORMULA(SINGLE(TEXTJOIN(""_"",TRUE,D306,G306))), 1, 1)"),"Donors Capital Fund_2014")</f>
        <v>Donors Capital Fund_2014</v>
      </c>
      <c r="D306" s="4" t="s">
        <v>10</v>
      </c>
      <c r="E306" s="8" t="s">
        <v>46</v>
      </c>
      <c r="F306" s="6">
        <v>30500</v>
      </c>
      <c r="G306" s="4">
        <v>2014</v>
      </c>
      <c r="H306" s="4" t="s">
        <v>359</v>
      </c>
    </row>
    <row r="307" spans="1:8" ht="15.75" customHeight="1" x14ac:dyDescent="0.2">
      <c r="A307" s="4" t="s">
        <v>368</v>
      </c>
      <c r="B307" s="4" t="str">
        <f t="shared" si="1"/>
        <v>Donors Capital Fund_State Policy Network2014375700</v>
      </c>
      <c r="C307" s="4" t="str">
        <f ca="1">IFERROR(__xludf.DUMMYFUNCTION("ARRAY_CONSTRAIN(ARRAYFORMULA(SINGLE(TEXTJOIN(""_"",TRUE,D307,G307))), 1, 1)"),"Donors Capital Fund_2014")</f>
        <v>Donors Capital Fund_2014</v>
      </c>
      <c r="D307" s="4" t="s">
        <v>10</v>
      </c>
      <c r="E307" s="8" t="s">
        <v>46</v>
      </c>
      <c r="F307" s="6">
        <v>375700</v>
      </c>
      <c r="G307" s="4">
        <v>2014</v>
      </c>
      <c r="H307" s="4" t="s">
        <v>359</v>
      </c>
    </row>
    <row r="308" spans="1:8" ht="15.75" customHeight="1" x14ac:dyDescent="0.2">
      <c r="A308" s="4" t="s">
        <v>368</v>
      </c>
      <c r="B308" s="4" t="str">
        <f t="shared" si="1"/>
        <v>Donors Capital Fund_State Policy Network20144000</v>
      </c>
      <c r="C308" s="4" t="str">
        <f ca="1">IFERROR(__xludf.DUMMYFUNCTION("ARRAY_CONSTRAIN(ARRAYFORMULA(SINGLE(TEXTJOIN(""_"",TRUE,D308,G308))), 1, 1)"),"Donors Capital Fund_2014")</f>
        <v>Donors Capital Fund_2014</v>
      </c>
      <c r="D308" s="4" t="s">
        <v>10</v>
      </c>
      <c r="E308" s="8" t="s">
        <v>46</v>
      </c>
      <c r="F308" s="6">
        <v>4000</v>
      </c>
      <c r="G308" s="4">
        <v>2014</v>
      </c>
      <c r="H308" s="4" t="s">
        <v>359</v>
      </c>
    </row>
    <row r="309" spans="1:8" ht="15.75" customHeight="1" x14ac:dyDescent="0.2">
      <c r="A309" s="4" t="s">
        <v>368</v>
      </c>
      <c r="B309" s="4" t="str">
        <f t="shared" si="1"/>
        <v>Donors Capital Fund_State Policy Network201440000</v>
      </c>
      <c r="C309" s="4" t="str">
        <f ca="1">IFERROR(__xludf.DUMMYFUNCTION("ARRAY_CONSTRAIN(ARRAYFORMULA(SINGLE(TEXTJOIN(""_"",TRUE,D309,G309))), 1, 1)"),"Donors Capital Fund_2014")</f>
        <v>Donors Capital Fund_2014</v>
      </c>
      <c r="D309" s="4" t="s">
        <v>10</v>
      </c>
      <c r="E309" s="8" t="s">
        <v>46</v>
      </c>
      <c r="F309" s="6">
        <v>40000</v>
      </c>
      <c r="G309" s="4">
        <v>2014</v>
      </c>
      <c r="H309" s="4" t="s">
        <v>359</v>
      </c>
    </row>
    <row r="310" spans="1:8" ht="15.75" customHeight="1" x14ac:dyDescent="0.2">
      <c r="A310" s="4" t="s">
        <v>368</v>
      </c>
      <c r="B310" s="4" t="str">
        <f t="shared" si="1"/>
        <v>Donors Capital Fund_State Policy Network201441000</v>
      </c>
      <c r="C310" s="4" t="str">
        <f ca="1">IFERROR(__xludf.DUMMYFUNCTION("ARRAY_CONSTRAIN(ARRAYFORMULA(SINGLE(TEXTJOIN(""_"",TRUE,D310,G310))), 1, 1)"),"Donors Capital Fund_2014")</f>
        <v>Donors Capital Fund_2014</v>
      </c>
      <c r="D310" s="4" t="s">
        <v>10</v>
      </c>
      <c r="E310" s="8" t="s">
        <v>46</v>
      </c>
      <c r="F310" s="6">
        <v>41000</v>
      </c>
      <c r="G310" s="4">
        <v>2014</v>
      </c>
      <c r="H310" s="4" t="s">
        <v>359</v>
      </c>
    </row>
    <row r="311" spans="1:8" ht="15.75" customHeight="1" x14ac:dyDescent="0.2">
      <c r="A311" s="4" t="s">
        <v>368</v>
      </c>
      <c r="B311" s="4" t="str">
        <f t="shared" si="1"/>
        <v>Donors Capital Fund_State Policy Network201446200</v>
      </c>
      <c r="C311" s="4" t="str">
        <f ca="1">IFERROR(__xludf.DUMMYFUNCTION("ARRAY_CONSTRAIN(ARRAYFORMULA(SINGLE(TEXTJOIN(""_"",TRUE,D311,G311))), 1, 1)"),"Donors Capital Fund_2014")</f>
        <v>Donors Capital Fund_2014</v>
      </c>
      <c r="D311" s="4" t="s">
        <v>10</v>
      </c>
      <c r="E311" s="8" t="s">
        <v>46</v>
      </c>
      <c r="F311" s="6">
        <v>46200</v>
      </c>
      <c r="G311" s="4">
        <v>2014</v>
      </c>
      <c r="H311" s="4" t="s">
        <v>359</v>
      </c>
    </row>
    <row r="312" spans="1:8" ht="15.75" customHeight="1" x14ac:dyDescent="0.2">
      <c r="A312" s="4" t="s">
        <v>368</v>
      </c>
      <c r="B312" s="4" t="str">
        <f t="shared" si="1"/>
        <v>Donors Capital Fund_State Policy Network2014539850</v>
      </c>
      <c r="C312" s="4" t="str">
        <f ca="1">IFERROR(__xludf.DUMMYFUNCTION("ARRAY_CONSTRAIN(ARRAYFORMULA(SINGLE(TEXTJOIN(""_"",TRUE,D312,G312))), 1, 1)"),"Donors Capital Fund_2014")</f>
        <v>Donors Capital Fund_2014</v>
      </c>
      <c r="D312" s="4" t="s">
        <v>10</v>
      </c>
      <c r="E312" s="8" t="s">
        <v>46</v>
      </c>
      <c r="F312" s="6">
        <v>539850</v>
      </c>
      <c r="G312" s="4">
        <v>2014</v>
      </c>
      <c r="H312" s="4" t="s">
        <v>359</v>
      </c>
    </row>
    <row r="313" spans="1:8" ht="15.75" customHeight="1" x14ac:dyDescent="0.2">
      <c r="A313" s="4" t="s">
        <v>368</v>
      </c>
      <c r="B313" s="4" t="str">
        <f t="shared" si="1"/>
        <v>Donors Capital Fund_State Policy Network201461750</v>
      </c>
      <c r="C313" s="4" t="str">
        <f ca="1">IFERROR(__xludf.DUMMYFUNCTION("ARRAY_CONSTRAIN(ARRAYFORMULA(SINGLE(TEXTJOIN(""_"",TRUE,D313,G313))), 1, 1)"),"Donors Capital Fund_2014")</f>
        <v>Donors Capital Fund_2014</v>
      </c>
      <c r="D313" s="4" t="s">
        <v>10</v>
      </c>
      <c r="E313" s="8" t="s">
        <v>46</v>
      </c>
      <c r="F313" s="6">
        <v>61750</v>
      </c>
      <c r="G313" s="4">
        <v>2014</v>
      </c>
      <c r="H313" s="4" t="s">
        <v>359</v>
      </c>
    </row>
    <row r="314" spans="1:8" ht="15.75" customHeight="1" x14ac:dyDescent="0.2">
      <c r="A314" s="4" t="s">
        <v>368</v>
      </c>
      <c r="B314" s="4" t="str">
        <f t="shared" si="1"/>
        <v>Donors Capital Fund_State Policy Network201476200</v>
      </c>
      <c r="C314" s="4" t="str">
        <f ca="1">IFERROR(__xludf.DUMMYFUNCTION("ARRAY_CONSTRAIN(ARRAYFORMULA(SINGLE(TEXTJOIN(""_"",TRUE,D314,G314))), 1, 1)"),"Donors Capital Fund_2014")</f>
        <v>Donors Capital Fund_2014</v>
      </c>
      <c r="D314" s="4" t="s">
        <v>10</v>
      </c>
      <c r="E314" s="8" t="s">
        <v>46</v>
      </c>
      <c r="F314" s="6">
        <v>76200</v>
      </c>
      <c r="G314" s="4">
        <v>2014</v>
      </c>
      <c r="H314" s="4" t="s">
        <v>359</v>
      </c>
    </row>
    <row r="315" spans="1:8" ht="15.75" customHeight="1" x14ac:dyDescent="0.2">
      <c r="A315" s="4" t="s">
        <v>368</v>
      </c>
      <c r="B315" s="4" t="str">
        <f t="shared" si="1"/>
        <v>Donors Capital Fund_State Policy Network201315000</v>
      </c>
      <c r="C315" s="4" t="str">
        <f ca="1">IFERROR(__xludf.DUMMYFUNCTION("ARRAY_CONSTRAIN(ARRAYFORMULA(SINGLE(TEXTJOIN(""_"",TRUE,D315,G315))), 1, 1)"),"Donors Capital Fund_2013")</f>
        <v>Donors Capital Fund_2013</v>
      </c>
      <c r="D315" s="4" t="s">
        <v>10</v>
      </c>
      <c r="E315" s="8" t="s">
        <v>46</v>
      </c>
      <c r="F315" s="6">
        <v>15000</v>
      </c>
      <c r="G315" s="4">
        <v>2013</v>
      </c>
      <c r="H315" s="4" t="s">
        <v>359</v>
      </c>
    </row>
    <row r="316" spans="1:8" ht="15.75" customHeight="1" x14ac:dyDescent="0.2">
      <c r="A316" s="4" t="s">
        <v>368</v>
      </c>
      <c r="B316" s="4" t="str">
        <f t="shared" si="1"/>
        <v>Donors Capital Fund_State Policy Network20131834500</v>
      </c>
      <c r="C316" s="4" t="str">
        <f ca="1">IFERROR(__xludf.DUMMYFUNCTION("ARRAY_CONSTRAIN(ARRAYFORMULA(SINGLE(TEXTJOIN(""_"",TRUE,D316,G316))), 1, 1)"),"Donors Capital Fund_2013")</f>
        <v>Donors Capital Fund_2013</v>
      </c>
      <c r="D316" s="4" t="s">
        <v>10</v>
      </c>
      <c r="E316" s="8" t="s">
        <v>46</v>
      </c>
      <c r="F316" s="6">
        <v>1834500</v>
      </c>
      <c r="G316" s="4">
        <v>2013</v>
      </c>
      <c r="H316" s="4" t="s">
        <v>359</v>
      </c>
    </row>
    <row r="317" spans="1:8" ht="15.75" customHeight="1" x14ac:dyDescent="0.2">
      <c r="A317" s="4" t="s">
        <v>368</v>
      </c>
      <c r="B317" s="4" t="str">
        <f t="shared" si="1"/>
        <v>Donors Capital Fund_State Policy Network2013203050</v>
      </c>
      <c r="C317" s="4" t="str">
        <f ca="1">IFERROR(__xludf.DUMMYFUNCTION("ARRAY_CONSTRAIN(ARRAYFORMULA(SINGLE(TEXTJOIN(""_"",TRUE,D317,G317))), 1, 1)"),"Donors Capital Fund_2013")</f>
        <v>Donors Capital Fund_2013</v>
      </c>
      <c r="D317" s="4" t="s">
        <v>10</v>
      </c>
      <c r="E317" s="8" t="s">
        <v>46</v>
      </c>
      <c r="F317" s="6">
        <v>203050</v>
      </c>
      <c r="G317" s="4">
        <v>2013</v>
      </c>
      <c r="H317" s="4" t="s">
        <v>359</v>
      </c>
    </row>
    <row r="318" spans="1:8" ht="15.75" customHeight="1" x14ac:dyDescent="0.2">
      <c r="A318" s="4" t="s">
        <v>368</v>
      </c>
      <c r="B318" s="4" t="str">
        <f t="shared" si="1"/>
        <v>Donors Capital Fund_State Policy Network201321500</v>
      </c>
      <c r="C318" s="4" t="str">
        <f ca="1">IFERROR(__xludf.DUMMYFUNCTION("ARRAY_CONSTRAIN(ARRAYFORMULA(SINGLE(TEXTJOIN(""_"",TRUE,D318,G318))), 1, 1)"),"Donors Capital Fund_2013")</f>
        <v>Donors Capital Fund_2013</v>
      </c>
      <c r="D318" s="4" t="s">
        <v>10</v>
      </c>
      <c r="E318" s="8" t="s">
        <v>46</v>
      </c>
      <c r="F318" s="6">
        <v>21500</v>
      </c>
      <c r="G318" s="4">
        <v>2013</v>
      </c>
      <c r="H318" s="4" t="s">
        <v>359</v>
      </c>
    </row>
    <row r="319" spans="1:8" ht="15.75" customHeight="1" x14ac:dyDescent="0.2">
      <c r="A319" s="4" t="s">
        <v>368</v>
      </c>
      <c r="B319" s="4" t="str">
        <f t="shared" si="1"/>
        <v>Donors Capital Fund_State Policy Network201327000</v>
      </c>
      <c r="C319" s="4" t="str">
        <f ca="1">IFERROR(__xludf.DUMMYFUNCTION("ARRAY_CONSTRAIN(ARRAYFORMULA(SINGLE(TEXTJOIN(""_"",TRUE,D319,G319))), 1, 1)"),"Donors Capital Fund_2013")</f>
        <v>Donors Capital Fund_2013</v>
      </c>
      <c r="D319" s="4" t="s">
        <v>10</v>
      </c>
      <c r="E319" s="8" t="s">
        <v>46</v>
      </c>
      <c r="F319" s="6">
        <v>27000</v>
      </c>
      <c r="G319" s="4">
        <v>2013</v>
      </c>
      <c r="H319" s="4" t="s">
        <v>359</v>
      </c>
    </row>
    <row r="320" spans="1:8" ht="15.75" customHeight="1" x14ac:dyDescent="0.2">
      <c r="A320" s="4" t="s">
        <v>368</v>
      </c>
      <c r="B320" s="4" t="str">
        <f t="shared" si="1"/>
        <v>Donors Capital Fund_State Policy Network201339000</v>
      </c>
      <c r="C320" s="4" t="str">
        <f ca="1">IFERROR(__xludf.DUMMYFUNCTION("ARRAY_CONSTRAIN(ARRAYFORMULA(SINGLE(TEXTJOIN(""_"",TRUE,D320,G320))), 1, 1)"),"Donors Capital Fund_2013")</f>
        <v>Donors Capital Fund_2013</v>
      </c>
      <c r="D320" s="4" t="s">
        <v>10</v>
      </c>
      <c r="E320" s="8" t="s">
        <v>46</v>
      </c>
      <c r="F320" s="6">
        <v>39000</v>
      </c>
      <c r="G320" s="4">
        <v>2013</v>
      </c>
      <c r="H320" s="4" t="s">
        <v>359</v>
      </c>
    </row>
    <row r="321" spans="1:8" ht="15.75" customHeight="1" x14ac:dyDescent="0.2">
      <c r="A321" s="4" t="s">
        <v>368</v>
      </c>
      <c r="B321" s="4" t="str">
        <f t="shared" si="1"/>
        <v>Donors Capital Fund_State Policy Network201340000</v>
      </c>
      <c r="C321" s="4" t="str">
        <f ca="1">IFERROR(__xludf.DUMMYFUNCTION("ARRAY_CONSTRAIN(ARRAYFORMULA(SINGLE(TEXTJOIN(""_"",TRUE,D321,G321))), 1, 1)"),"Donors Capital Fund_2013")</f>
        <v>Donors Capital Fund_2013</v>
      </c>
      <c r="D321" s="4" t="s">
        <v>10</v>
      </c>
      <c r="E321" s="8" t="s">
        <v>46</v>
      </c>
      <c r="F321" s="6">
        <v>40000</v>
      </c>
      <c r="G321" s="4">
        <v>2013</v>
      </c>
      <c r="H321" s="4" t="s">
        <v>359</v>
      </c>
    </row>
    <row r="322" spans="1:8" ht="15.75" customHeight="1" x14ac:dyDescent="0.2">
      <c r="A322" s="4" t="s">
        <v>368</v>
      </c>
      <c r="B322" s="4" t="str">
        <f t="shared" si="1"/>
        <v>Donors Capital Fund_State Policy Network201340000</v>
      </c>
      <c r="C322" s="4" t="str">
        <f ca="1">IFERROR(__xludf.DUMMYFUNCTION("ARRAY_CONSTRAIN(ARRAYFORMULA(SINGLE(TEXTJOIN(""_"",TRUE,D322,G322))), 1, 1)"),"Donors Capital Fund_2013")</f>
        <v>Donors Capital Fund_2013</v>
      </c>
      <c r="D322" s="4" t="s">
        <v>10</v>
      </c>
      <c r="E322" s="8" t="s">
        <v>46</v>
      </c>
      <c r="F322" s="6">
        <v>40000</v>
      </c>
      <c r="G322" s="4">
        <v>2013</v>
      </c>
      <c r="H322" s="4" t="s">
        <v>359</v>
      </c>
    </row>
    <row r="323" spans="1:8" ht="15.75" customHeight="1" x14ac:dyDescent="0.2">
      <c r="A323" s="4" t="s">
        <v>368</v>
      </c>
      <c r="B323" s="4" t="str">
        <f t="shared" si="1"/>
        <v>Donors Capital Fund_State Policy Network201362700</v>
      </c>
      <c r="C323" s="4" t="str">
        <f ca="1">IFERROR(__xludf.DUMMYFUNCTION("ARRAY_CONSTRAIN(ARRAYFORMULA(SINGLE(TEXTJOIN(""_"",TRUE,D323,G323))), 1, 1)"),"Donors Capital Fund_2013")</f>
        <v>Donors Capital Fund_2013</v>
      </c>
      <c r="D323" s="4" t="s">
        <v>10</v>
      </c>
      <c r="E323" s="8" t="s">
        <v>46</v>
      </c>
      <c r="F323" s="6">
        <v>62700</v>
      </c>
      <c r="G323" s="4">
        <v>2013</v>
      </c>
      <c r="H323" s="4" t="s">
        <v>359</v>
      </c>
    </row>
    <row r="324" spans="1:8" ht="15.75" customHeight="1" x14ac:dyDescent="0.2">
      <c r="A324" s="4" t="s">
        <v>368</v>
      </c>
      <c r="B324" s="4" t="str">
        <f t="shared" si="1"/>
        <v>Donors Capital Fund_State Policy Network201370260</v>
      </c>
      <c r="C324" s="4" t="str">
        <f ca="1">IFERROR(__xludf.DUMMYFUNCTION("ARRAY_CONSTRAIN(ARRAYFORMULA(SINGLE(TEXTJOIN(""_"",TRUE,D324,G324))), 1, 1)"),"Donors Capital Fund_2013")</f>
        <v>Donors Capital Fund_2013</v>
      </c>
      <c r="D324" s="4" t="s">
        <v>10</v>
      </c>
      <c r="E324" s="8" t="s">
        <v>46</v>
      </c>
      <c r="F324" s="6">
        <v>70260</v>
      </c>
      <c r="G324" s="4">
        <v>2013</v>
      </c>
      <c r="H324" s="4" t="s">
        <v>359</v>
      </c>
    </row>
    <row r="325" spans="1:8" ht="15.75" customHeight="1" x14ac:dyDescent="0.2">
      <c r="A325" s="4" t="s">
        <v>368</v>
      </c>
      <c r="B325" s="4" t="str">
        <f t="shared" si="1"/>
        <v>Donors Capital Fund_State Policy Network201375000</v>
      </c>
      <c r="C325" s="4" t="str">
        <f ca="1">IFERROR(__xludf.DUMMYFUNCTION("ARRAY_CONSTRAIN(ARRAYFORMULA(SINGLE(TEXTJOIN(""_"",TRUE,D325,G325))), 1, 1)"),"Donors Capital Fund_2013")</f>
        <v>Donors Capital Fund_2013</v>
      </c>
      <c r="D325" s="4" t="s">
        <v>10</v>
      </c>
      <c r="E325" s="8" t="s">
        <v>46</v>
      </c>
      <c r="F325" s="6">
        <v>75000</v>
      </c>
      <c r="G325" s="4">
        <v>2013</v>
      </c>
      <c r="H325" s="4" t="s">
        <v>359</v>
      </c>
    </row>
    <row r="326" spans="1:8" ht="15.75" customHeight="1" x14ac:dyDescent="0.2">
      <c r="A326" s="4" t="s">
        <v>368</v>
      </c>
      <c r="B326" s="4" t="str">
        <f t="shared" si="1"/>
        <v>Donors Capital Fund_State Policy Network20138000</v>
      </c>
      <c r="C326" s="4" t="str">
        <f ca="1">IFERROR(__xludf.DUMMYFUNCTION("ARRAY_CONSTRAIN(ARRAYFORMULA(SINGLE(TEXTJOIN(""_"",TRUE,D326,G326))), 1, 1)"),"Donors Capital Fund_2013")</f>
        <v>Donors Capital Fund_2013</v>
      </c>
      <c r="D326" s="4" t="s">
        <v>10</v>
      </c>
      <c r="E326" s="8" t="s">
        <v>46</v>
      </c>
      <c r="F326" s="6">
        <v>8000</v>
      </c>
      <c r="G326" s="4">
        <v>2013</v>
      </c>
      <c r="H326" s="4" t="s">
        <v>359</v>
      </c>
    </row>
    <row r="327" spans="1:8" ht="15.75" customHeight="1" x14ac:dyDescent="0.2">
      <c r="A327" s="4" t="s">
        <v>368</v>
      </c>
      <c r="B327" s="4" t="str">
        <f t="shared" si="1"/>
        <v>Donors Capital Fund_State Policy Network201380000</v>
      </c>
      <c r="C327" s="4" t="str">
        <f ca="1">IFERROR(__xludf.DUMMYFUNCTION("ARRAY_CONSTRAIN(ARRAYFORMULA(SINGLE(TEXTJOIN(""_"",TRUE,D327,G327))), 1, 1)"),"Donors Capital Fund_2013")</f>
        <v>Donors Capital Fund_2013</v>
      </c>
      <c r="D327" s="4" t="s">
        <v>10</v>
      </c>
      <c r="E327" s="8" t="s">
        <v>46</v>
      </c>
      <c r="F327" s="6">
        <v>80000</v>
      </c>
      <c r="G327" s="4">
        <v>2013</v>
      </c>
      <c r="H327" s="4" t="s">
        <v>359</v>
      </c>
    </row>
    <row r="328" spans="1:8" ht="15.75" customHeight="1" x14ac:dyDescent="0.2">
      <c r="A328" s="4" t="s">
        <v>368</v>
      </c>
      <c r="B328" s="4" t="str">
        <f t="shared" si="1"/>
        <v>Donors Capital Fund_State Policy Network201210000</v>
      </c>
      <c r="C328" s="4" t="str">
        <f ca="1">IFERROR(__xludf.DUMMYFUNCTION("ARRAY_CONSTRAIN(ARRAYFORMULA(SINGLE(TEXTJOIN(""_"",TRUE,D328,G328))), 1, 1)"),"Donors Capital Fund_2012")</f>
        <v>Donors Capital Fund_2012</v>
      </c>
      <c r="D328" s="4" t="s">
        <v>10</v>
      </c>
      <c r="E328" s="8" t="s">
        <v>46</v>
      </c>
      <c r="F328" s="6">
        <v>10000</v>
      </c>
      <c r="G328" s="4">
        <v>2012</v>
      </c>
      <c r="H328" s="4" t="s">
        <v>359</v>
      </c>
    </row>
    <row r="329" spans="1:8" ht="15.75" customHeight="1" x14ac:dyDescent="0.2">
      <c r="A329" s="4" t="s">
        <v>368</v>
      </c>
      <c r="B329" s="4" t="str">
        <f t="shared" si="1"/>
        <v>Donors Capital Fund_State Policy Network201210000</v>
      </c>
      <c r="C329" s="4" t="str">
        <f ca="1">IFERROR(__xludf.DUMMYFUNCTION("ARRAY_CONSTRAIN(ARRAYFORMULA(SINGLE(TEXTJOIN(""_"",TRUE,D329,G329))), 1, 1)"),"Donors Capital Fund_2012")</f>
        <v>Donors Capital Fund_2012</v>
      </c>
      <c r="D329" s="4" t="s">
        <v>10</v>
      </c>
      <c r="E329" s="8" t="s">
        <v>46</v>
      </c>
      <c r="F329" s="6">
        <v>10000</v>
      </c>
      <c r="G329" s="4">
        <v>2012</v>
      </c>
      <c r="H329" s="4" t="s">
        <v>359</v>
      </c>
    </row>
    <row r="330" spans="1:8" ht="15.75" customHeight="1" x14ac:dyDescent="0.2">
      <c r="A330" s="4" t="s">
        <v>368</v>
      </c>
      <c r="B330" s="4" t="str">
        <f t="shared" si="1"/>
        <v>Donors Capital Fund_State Policy Network2012111000</v>
      </c>
      <c r="C330" s="4" t="str">
        <f ca="1">IFERROR(__xludf.DUMMYFUNCTION("ARRAY_CONSTRAIN(ARRAYFORMULA(SINGLE(TEXTJOIN(""_"",TRUE,D330,G330))), 1, 1)"),"Donors Capital Fund_2012")</f>
        <v>Donors Capital Fund_2012</v>
      </c>
      <c r="D330" s="4" t="s">
        <v>10</v>
      </c>
      <c r="E330" s="8" t="s">
        <v>46</v>
      </c>
      <c r="F330" s="6">
        <v>111000</v>
      </c>
      <c r="G330" s="4">
        <v>2012</v>
      </c>
      <c r="H330" s="4" t="s">
        <v>359</v>
      </c>
    </row>
    <row r="331" spans="1:8" ht="15.75" customHeight="1" x14ac:dyDescent="0.2">
      <c r="A331" s="4" t="s">
        <v>368</v>
      </c>
      <c r="B331" s="4" t="str">
        <f t="shared" si="1"/>
        <v>Donors Capital Fund_State Policy Network201214175</v>
      </c>
      <c r="C331" s="4" t="str">
        <f ca="1">IFERROR(__xludf.DUMMYFUNCTION("ARRAY_CONSTRAIN(ARRAYFORMULA(SINGLE(TEXTJOIN(""_"",TRUE,D331,G331))), 1, 1)"),"Donors Capital Fund_2012")</f>
        <v>Donors Capital Fund_2012</v>
      </c>
      <c r="D331" s="4" t="s">
        <v>10</v>
      </c>
      <c r="E331" s="8" t="s">
        <v>46</v>
      </c>
      <c r="F331" s="6">
        <v>14175</v>
      </c>
      <c r="G331" s="4">
        <v>2012</v>
      </c>
      <c r="H331" s="4" t="s">
        <v>359</v>
      </c>
    </row>
    <row r="332" spans="1:8" ht="15.75" customHeight="1" x14ac:dyDescent="0.2">
      <c r="A332" s="4" t="s">
        <v>368</v>
      </c>
      <c r="B332" s="4" t="str">
        <f t="shared" si="1"/>
        <v>Donors Capital Fund_State Policy Network2012173000</v>
      </c>
      <c r="C332" s="4" t="str">
        <f ca="1">IFERROR(__xludf.DUMMYFUNCTION("ARRAY_CONSTRAIN(ARRAYFORMULA(SINGLE(TEXTJOIN(""_"",TRUE,D332,G332))), 1, 1)"),"Donors Capital Fund_2012")</f>
        <v>Donors Capital Fund_2012</v>
      </c>
      <c r="D332" s="4" t="s">
        <v>10</v>
      </c>
      <c r="E332" s="8" t="s">
        <v>46</v>
      </c>
      <c r="F332" s="6">
        <v>173000</v>
      </c>
      <c r="G332" s="4">
        <v>2012</v>
      </c>
      <c r="H332" s="4" t="s">
        <v>359</v>
      </c>
    </row>
    <row r="333" spans="1:8" ht="15.75" customHeight="1" x14ac:dyDescent="0.2">
      <c r="A333" s="4" t="s">
        <v>368</v>
      </c>
      <c r="B333" s="4" t="str">
        <f t="shared" si="1"/>
        <v>Donors Capital Fund_State Policy Network2012175000</v>
      </c>
      <c r="C333" s="4" t="str">
        <f ca="1">IFERROR(__xludf.DUMMYFUNCTION("ARRAY_CONSTRAIN(ARRAYFORMULA(SINGLE(TEXTJOIN(""_"",TRUE,D333,G333))), 1, 1)"),"Donors Capital Fund_2012")</f>
        <v>Donors Capital Fund_2012</v>
      </c>
      <c r="D333" s="4" t="s">
        <v>10</v>
      </c>
      <c r="E333" s="8" t="s">
        <v>46</v>
      </c>
      <c r="F333" s="6">
        <v>175000</v>
      </c>
      <c r="G333" s="4">
        <v>2012</v>
      </c>
      <c r="H333" s="4" t="s">
        <v>359</v>
      </c>
    </row>
    <row r="334" spans="1:8" ht="15.75" customHeight="1" x14ac:dyDescent="0.2">
      <c r="A334" s="4" t="s">
        <v>368</v>
      </c>
      <c r="B334" s="4" t="str">
        <f t="shared" si="1"/>
        <v>Donors Capital Fund_State Policy Network20121890000</v>
      </c>
      <c r="C334" s="4" t="str">
        <f ca="1">IFERROR(__xludf.DUMMYFUNCTION("ARRAY_CONSTRAIN(ARRAYFORMULA(SINGLE(TEXTJOIN(""_"",TRUE,D334,G334))), 1, 1)"),"Donors Capital Fund_2012")</f>
        <v>Donors Capital Fund_2012</v>
      </c>
      <c r="D334" s="4" t="s">
        <v>10</v>
      </c>
      <c r="E334" s="8" t="s">
        <v>46</v>
      </c>
      <c r="F334" s="6">
        <v>1890000</v>
      </c>
      <c r="G334" s="4">
        <v>2012</v>
      </c>
      <c r="H334" s="4" t="s">
        <v>359</v>
      </c>
    </row>
    <row r="335" spans="1:8" ht="15.75" customHeight="1" x14ac:dyDescent="0.2">
      <c r="A335" s="4" t="s">
        <v>368</v>
      </c>
      <c r="B335" s="4" t="str">
        <f t="shared" si="1"/>
        <v>Donors Capital Fund_State Policy Network2012281340</v>
      </c>
      <c r="C335" s="4" t="str">
        <f ca="1">IFERROR(__xludf.DUMMYFUNCTION("ARRAY_CONSTRAIN(ARRAYFORMULA(SINGLE(TEXTJOIN(""_"",TRUE,D335,G335))), 1, 1)"),"Donors Capital Fund_2012")</f>
        <v>Donors Capital Fund_2012</v>
      </c>
      <c r="D335" s="4" t="s">
        <v>10</v>
      </c>
      <c r="E335" s="8" t="s">
        <v>46</v>
      </c>
      <c r="F335" s="6">
        <v>281340</v>
      </c>
      <c r="G335" s="4">
        <v>2012</v>
      </c>
      <c r="H335" s="4" t="s">
        <v>359</v>
      </c>
    </row>
    <row r="336" spans="1:8" ht="15.75" customHeight="1" x14ac:dyDescent="0.2">
      <c r="A336" s="4" t="s">
        <v>368</v>
      </c>
      <c r="B336" s="4" t="str">
        <f t="shared" si="1"/>
        <v>Donors Capital Fund_State Policy Network201230000</v>
      </c>
      <c r="C336" s="4" t="str">
        <f ca="1">IFERROR(__xludf.DUMMYFUNCTION("ARRAY_CONSTRAIN(ARRAYFORMULA(SINGLE(TEXTJOIN(""_"",TRUE,D336,G336))), 1, 1)"),"Donors Capital Fund_2012")</f>
        <v>Donors Capital Fund_2012</v>
      </c>
      <c r="D336" s="4" t="s">
        <v>10</v>
      </c>
      <c r="E336" s="8" t="s">
        <v>46</v>
      </c>
      <c r="F336" s="6">
        <v>30000</v>
      </c>
      <c r="G336" s="4">
        <v>2012</v>
      </c>
      <c r="H336" s="4" t="s">
        <v>359</v>
      </c>
    </row>
    <row r="337" spans="1:8" ht="15.75" customHeight="1" x14ac:dyDescent="0.2">
      <c r="A337" s="4" t="s">
        <v>368</v>
      </c>
      <c r="B337" s="4" t="str">
        <f t="shared" si="1"/>
        <v>Donors Capital Fund_State Policy Network201234898</v>
      </c>
      <c r="C337" s="4" t="str">
        <f ca="1">IFERROR(__xludf.DUMMYFUNCTION("ARRAY_CONSTRAIN(ARRAYFORMULA(SINGLE(TEXTJOIN(""_"",TRUE,D337,G337))), 1, 1)"),"Donors Capital Fund_2012")</f>
        <v>Donors Capital Fund_2012</v>
      </c>
      <c r="D337" s="4" t="s">
        <v>10</v>
      </c>
      <c r="E337" s="8" t="s">
        <v>46</v>
      </c>
      <c r="F337" s="6">
        <v>34898</v>
      </c>
      <c r="G337" s="4">
        <v>2012</v>
      </c>
      <c r="H337" s="4" t="s">
        <v>359</v>
      </c>
    </row>
    <row r="338" spans="1:8" ht="15.75" customHeight="1" x14ac:dyDescent="0.2">
      <c r="A338" s="4" t="s">
        <v>368</v>
      </c>
      <c r="B338" s="4" t="str">
        <f t="shared" si="1"/>
        <v>Donors Capital Fund_State Policy Network201240000</v>
      </c>
      <c r="C338" s="4" t="str">
        <f ca="1">IFERROR(__xludf.DUMMYFUNCTION("ARRAY_CONSTRAIN(ARRAYFORMULA(SINGLE(TEXTJOIN(""_"",TRUE,D338,G338))), 1, 1)"),"Donors Capital Fund_2012")</f>
        <v>Donors Capital Fund_2012</v>
      </c>
      <c r="D338" s="4" t="s">
        <v>10</v>
      </c>
      <c r="E338" s="8" t="s">
        <v>46</v>
      </c>
      <c r="F338" s="6">
        <v>40000</v>
      </c>
      <c r="G338" s="4">
        <v>2012</v>
      </c>
      <c r="H338" s="4" t="s">
        <v>359</v>
      </c>
    </row>
    <row r="339" spans="1:8" ht="15.75" customHeight="1" x14ac:dyDescent="0.2">
      <c r="A339" s="4" t="s">
        <v>368</v>
      </c>
      <c r="B339" s="4" t="str">
        <f t="shared" si="1"/>
        <v>Donors Capital Fund_State Policy Network201240000</v>
      </c>
      <c r="C339" s="4" t="str">
        <f ca="1">IFERROR(__xludf.DUMMYFUNCTION("ARRAY_CONSTRAIN(ARRAYFORMULA(SINGLE(TEXTJOIN(""_"",TRUE,D339,G339))), 1, 1)"),"Donors Capital Fund_2012")</f>
        <v>Donors Capital Fund_2012</v>
      </c>
      <c r="D339" s="4" t="s">
        <v>10</v>
      </c>
      <c r="E339" s="8" t="s">
        <v>46</v>
      </c>
      <c r="F339" s="6">
        <v>40000</v>
      </c>
      <c r="G339" s="4">
        <v>2012</v>
      </c>
      <c r="H339" s="4" t="s">
        <v>359</v>
      </c>
    </row>
    <row r="340" spans="1:8" ht="15.75" customHeight="1" x14ac:dyDescent="0.2">
      <c r="A340" s="4" t="s">
        <v>368</v>
      </c>
      <c r="B340" s="4" t="str">
        <f t="shared" si="1"/>
        <v>Donors Capital Fund_State Policy Network201250000</v>
      </c>
      <c r="C340" s="4" t="str">
        <f ca="1">IFERROR(__xludf.DUMMYFUNCTION("ARRAY_CONSTRAIN(ARRAYFORMULA(SINGLE(TEXTJOIN(""_"",TRUE,D340,G340))), 1, 1)"),"Donors Capital Fund_2012")</f>
        <v>Donors Capital Fund_2012</v>
      </c>
      <c r="D340" s="4" t="s">
        <v>10</v>
      </c>
      <c r="E340" s="8" t="s">
        <v>46</v>
      </c>
      <c r="F340" s="6">
        <v>50000</v>
      </c>
      <c r="G340" s="4">
        <v>2012</v>
      </c>
      <c r="H340" s="4" t="s">
        <v>359</v>
      </c>
    </row>
    <row r="341" spans="1:8" ht="15.75" customHeight="1" x14ac:dyDescent="0.2">
      <c r="A341" s="4" t="s">
        <v>368</v>
      </c>
      <c r="B341" s="4" t="str">
        <f t="shared" si="1"/>
        <v>Donors Capital Fund_State Policy Network20126000</v>
      </c>
      <c r="C341" s="4" t="str">
        <f ca="1">IFERROR(__xludf.DUMMYFUNCTION("ARRAY_CONSTRAIN(ARRAYFORMULA(SINGLE(TEXTJOIN(""_"",TRUE,D341,G341))), 1, 1)"),"Donors Capital Fund_2012")</f>
        <v>Donors Capital Fund_2012</v>
      </c>
      <c r="D341" s="4" t="s">
        <v>10</v>
      </c>
      <c r="E341" s="8" t="s">
        <v>46</v>
      </c>
      <c r="F341" s="6">
        <v>6000</v>
      </c>
      <c r="G341" s="4">
        <v>2012</v>
      </c>
      <c r="H341" s="4" t="s">
        <v>359</v>
      </c>
    </row>
    <row r="342" spans="1:8" ht="15.75" customHeight="1" x14ac:dyDescent="0.2">
      <c r="A342" s="4" t="s">
        <v>368</v>
      </c>
      <c r="B342" s="4" t="str">
        <f t="shared" si="1"/>
        <v>Donors Capital Fund_State Policy Network201260000</v>
      </c>
      <c r="C342" s="4" t="str">
        <f ca="1">IFERROR(__xludf.DUMMYFUNCTION("ARRAY_CONSTRAIN(ARRAYFORMULA(SINGLE(TEXTJOIN(""_"",TRUE,D342,G342))), 1, 1)"),"Donors Capital Fund_2012")</f>
        <v>Donors Capital Fund_2012</v>
      </c>
      <c r="D342" s="4" t="s">
        <v>10</v>
      </c>
      <c r="E342" s="8" t="s">
        <v>46</v>
      </c>
      <c r="F342" s="6">
        <v>60000</v>
      </c>
      <c r="G342" s="4">
        <v>2012</v>
      </c>
      <c r="H342" s="4" t="s">
        <v>359</v>
      </c>
    </row>
    <row r="343" spans="1:8" ht="15.75" customHeight="1" x14ac:dyDescent="0.2">
      <c r="A343" s="4" t="s">
        <v>368</v>
      </c>
      <c r="B343" s="4" t="str">
        <f t="shared" si="1"/>
        <v>Donors Capital Fund_State Policy Network201110000</v>
      </c>
      <c r="C343" s="4" t="str">
        <f ca="1">IFERROR(__xludf.DUMMYFUNCTION("ARRAY_CONSTRAIN(ARRAYFORMULA(SINGLE(TEXTJOIN(""_"",TRUE,D343,G343))), 1, 1)"),"Donors Capital Fund_2011")</f>
        <v>Donors Capital Fund_2011</v>
      </c>
      <c r="D343" s="4" t="s">
        <v>10</v>
      </c>
      <c r="E343" s="8" t="s">
        <v>46</v>
      </c>
      <c r="F343" s="6">
        <v>10000</v>
      </c>
      <c r="G343" s="4">
        <v>2011</v>
      </c>
    </row>
    <row r="344" spans="1:8" ht="15.75" customHeight="1" x14ac:dyDescent="0.2">
      <c r="A344" s="4" t="s">
        <v>368</v>
      </c>
      <c r="B344" s="4" t="str">
        <f t="shared" si="1"/>
        <v>Donors Capital Fund_State Policy Network201110000</v>
      </c>
      <c r="C344" s="4" t="str">
        <f ca="1">IFERROR(__xludf.DUMMYFUNCTION("ARRAY_CONSTRAIN(ARRAYFORMULA(SINGLE(TEXTJOIN(""_"",TRUE,D344,G344))), 1, 1)"),"Donors Capital Fund_2011")</f>
        <v>Donors Capital Fund_2011</v>
      </c>
      <c r="D344" s="4" t="s">
        <v>10</v>
      </c>
      <c r="E344" s="8" t="s">
        <v>46</v>
      </c>
      <c r="F344" s="6">
        <v>10000</v>
      </c>
      <c r="G344" s="4">
        <v>2011</v>
      </c>
    </row>
    <row r="345" spans="1:8" ht="15.75" customHeight="1" x14ac:dyDescent="0.2">
      <c r="A345" s="4" t="s">
        <v>368</v>
      </c>
      <c r="B345" s="4" t="str">
        <f t="shared" si="1"/>
        <v>Donors Capital Fund_State Policy Network2011100000</v>
      </c>
      <c r="C345" s="4" t="str">
        <f ca="1">IFERROR(__xludf.DUMMYFUNCTION("ARRAY_CONSTRAIN(ARRAYFORMULA(SINGLE(TEXTJOIN(""_"",TRUE,D345,G345))), 1, 1)"),"Donors Capital Fund_2011")</f>
        <v>Donors Capital Fund_2011</v>
      </c>
      <c r="D345" s="4" t="s">
        <v>10</v>
      </c>
      <c r="E345" s="8" t="s">
        <v>46</v>
      </c>
      <c r="F345" s="6">
        <v>100000</v>
      </c>
      <c r="G345" s="4">
        <v>2011</v>
      </c>
    </row>
    <row r="346" spans="1:8" ht="15.75" customHeight="1" x14ac:dyDescent="0.2">
      <c r="A346" s="4" t="s">
        <v>368</v>
      </c>
      <c r="B346" s="4" t="str">
        <f t="shared" si="1"/>
        <v>Donors Capital Fund_State Policy Network201115000</v>
      </c>
      <c r="C346" s="4" t="str">
        <f ca="1">IFERROR(__xludf.DUMMYFUNCTION("ARRAY_CONSTRAIN(ARRAYFORMULA(SINGLE(TEXTJOIN(""_"",TRUE,D346,G346))), 1, 1)"),"Donors Capital Fund_2011")</f>
        <v>Donors Capital Fund_2011</v>
      </c>
      <c r="D346" s="4" t="s">
        <v>10</v>
      </c>
      <c r="E346" s="8" t="s">
        <v>46</v>
      </c>
      <c r="F346" s="6">
        <v>15000</v>
      </c>
      <c r="G346" s="4">
        <v>2011</v>
      </c>
    </row>
    <row r="347" spans="1:8" ht="15.75" customHeight="1" x14ac:dyDescent="0.2">
      <c r="A347" s="4" t="s">
        <v>368</v>
      </c>
      <c r="B347" s="4" t="str">
        <f t="shared" si="1"/>
        <v>Donors Capital Fund_State Policy Network2011150000</v>
      </c>
      <c r="C347" s="4" t="str">
        <f ca="1">IFERROR(__xludf.DUMMYFUNCTION("ARRAY_CONSTRAIN(ARRAYFORMULA(SINGLE(TEXTJOIN(""_"",TRUE,D347,G347))), 1, 1)"),"Donors Capital Fund_2011")</f>
        <v>Donors Capital Fund_2011</v>
      </c>
      <c r="D347" s="4" t="s">
        <v>10</v>
      </c>
      <c r="E347" s="8" t="s">
        <v>46</v>
      </c>
      <c r="F347" s="6">
        <v>150000</v>
      </c>
      <c r="G347" s="4">
        <v>2011</v>
      </c>
    </row>
    <row r="348" spans="1:8" ht="15.75" customHeight="1" x14ac:dyDescent="0.2">
      <c r="A348" s="4" t="s">
        <v>368</v>
      </c>
      <c r="B348" s="4" t="str">
        <f t="shared" si="1"/>
        <v>Donors Capital Fund_State Policy Network2011165000</v>
      </c>
      <c r="C348" s="4" t="str">
        <f ca="1">IFERROR(__xludf.DUMMYFUNCTION("ARRAY_CONSTRAIN(ARRAYFORMULA(SINGLE(TEXTJOIN(""_"",TRUE,D348,G348))), 1, 1)"),"Donors Capital Fund_2011")</f>
        <v>Donors Capital Fund_2011</v>
      </c>
      <c r="D348" s="4" t="s">
        <v>10</v>
      </c>
      <c r="E348" s="8" t="s">
        <v>46</v>
      </c>
      <c r="F348" s="6">
        <v>165000</v>
      </c>
      <c r="G348" s="4">
        <v>2011</v>
      </c>
    </row>
    <row r="349" spans="1:8" ht="15.75" customHeight="1" x14ac:dyDescent="0.2">
      <c r="A349" s="4" t="s">
        <v>368</v>
      </c>
      <c r="B349" s="4" t="str">
        <f t="shared" si="1"/>
        <v>Donors Capital Fund_State Policy Network201121000</v>
      </c>
      <c r="C349" s="4" t="str">
        <f ca="1">IFERROR(__xludf.DUMMYFUNCTION("ARRAY_CONSTRAIN(ARRAYFORMULA(SINGLE(TEXTJOIN(""_"",TRUE,D349,G349))), 1, 1)"),"Donors Capital Fund_2011")</f>
        <v>Donors Capital Fund_2011</v>
      </c>
      <c r="D349" s="4" t="s">
        <v>10</v>
      </c>
      <c r="E349" s="8" t="s">
        <v>46</v>
      </c>
      <c r="F349" s="6">
        <v>21000</v>
      </c>
      <c r="G349" s="4">
        <v>2011</v>
      </c>
    </row>
    <row r="350" spans="1:8" ht="15.75" customHeight="1" x14ac:dyDescent="0.2">
      <c r="A350" s="4" t="s">
        <v>368</v>
      </c>
      <c r="B350" s="4" t="str">
        <f t="shared" si="1"/>
        <v>Donors Capital Fund_State Policy Network201125000</v>
      </c>
      <c r="C350" s="4" t="str">
        <f ca="1">IFERROR(__xludf.DUMMYFUNCTION("ARRAY_CONSTRAIN(ARRAYFORMULA(SINGLE(TEXTJOIN(""_"",TRUE,D350,G350))), 1, 1)"),"Donors Capital Fund_2011")</f>
        <v>Donors Capital Fund_2011</v>
      </c>
      <c r="D350" s="4" t="s">
        <v>10</v>
      </c>
      <c r="E350" s="8" t="s">
        <v>46</v>
      </c>
      <c r="F350" s="6">
        <v>25000</v>
      </c>
      <c r="G350" s="4">
        <v>2011</v>
      </c>
    </row>
    <row r="351" spans="1:8" ht="15.75" customHeight="1" x14ac:dyDescent="0.2">
      <c r="A351" s="4" t="s">
        <v>368</v>
      </c>
      <c r="B351" s="4" t="str">
        <f t="shared" si="1"/>
        <v>Donors Capital Fund_State Policy Network201125000</v>
      </c>
      <c r="C351" s="4" t="str">
        <f ca="1">IFERROR(__xludf.DUMMYFUNCTION("ARRAY_CONSTRAIN(ARRAYFORMULA(SINGLE(TEXTJOIN(""_"",TRUE,D351,G351))), 1, 1)"),"Donors Capital Fund_2011")</f>
        <v>Donors Capital Fund_2011</v>
      </c>
      <c r="D351" s="4" t="s">
        <v>10</v>
      </c>
      <c r="E351" s="8" t="s">
        <v>46</v>
      </c>
      <c r="F351" s="6">
        <v>25000</v>
      </c>
      <c r="G351" s="4">
        <v>2011</v>
      </c>
    </row>
    <row r="352" spans="1:8" ht="15.75" customHeight="1" x14ac:dyDescent="0.2">
      <c r="A352" s="4" t="s">
        <v>368</v>
      </c>
      <c r="B352" s="4" t="str">
        <f t="shared" si="1"/>
        <v>Donors Capital Fund_State Policy Network201125000</v>
      </c>
      <c r="C352" s="4" t="str">
        <f ca="1">IFERROR(__xludf.DUMMYFUNCTION("ARRAY_CONSTRAIN(ARRAYFORMULA(SINGLE(TEXTJOIN(""_"",TRUE,D352,G352))), 1, 1)"),"Donors Capital Fund_2011")</f>
        <v>Donors Capital Fund_2011</v>
      </c>
      <c r="D352" s="4" t="s">
        <v>10</v>
      </c>
      <c r="E352" s="8" t="s">
        <v>46</v>
      </c>
      <c r="F352" s="6">
        <v>25000</v>
      </c>
      <c r="G352" s="4">
        <v>2011</v>
      </c>
    </row>
    <row r="353" spans="1:7" ht="15.75" customHeight="1" x14ac:dyDescent="0.2">
      <c r="A353" s="4" t="s">
        <v>368</v>
      </c>
      <c r="B353" s="4" t="str">
        <f t="shared" si="1"/>
        <v>Donors Capital Fund_State Policy Network201130000</v>
      </c>
      <c r="C353" s="4" t="str">
        <f ca="1">IFERROR(__xludf.DUMMYFUNCTION("ARRAY_CONSTRAIN(ARRAYFORMULA(SINGLE(TEXTJOIN(""_"",TRUE,D353,G353))), 1, 1)"),"Donors Capital Fund_2011")</f>
        <v>Donors Capital Fund_2011</v>
      </c>
      <c r="D353" s="4" t="s">
        <v>10</v>
      </c>
      <c r="E353" s="8" t="s">
        <v>46</v>
      </c>
      <c r="F353" s="6">
        <v>30000</v>
      </c>
      <c r="G353" s="4">
        <v>2011</v>
      </c>
    </row>
    <row r="354" spans="1:7" ht="15.75" customHeight="1" x14ac:dyDescent="0.2">
      <c r="A354" s="4" t="s">
        <v>368</v>
      </c>
      <c r="B354" s="4" t="str">
        <f t="shared" si="1"/>
        <v>Donors Capital Fund_State Policy Network201135000</v>
      </c>
      <c r="C354" s="4" t="str">
        <f ca="1">IFERROR(__xludf.DUMMYFUNCTION("ARRAY_CONSTRAIN(ARRAYFORMULA(SINGLE(TEXTJOIN(""_"",TRUE,D354,G354))), 1, 1)"),"Donors Capital Fund_2011")</f>
        <v>Donors Capital Fund_2011</v>
      </c>
      <c r="D354" s="4" t="s">
        <v>10</v>
      </c>
      <c r="E354" s="8" t="s">
        <v>46</v>
      </c>
      <c r="F354" s="6">
        <v>35000</v>
      </c>
      <c r="G354" s="4">
        <v>2011</v>
      </c>
    </row>
    <row r="355" spans="1:7" ht="15.75" customHeight="1" x14ac:dyDescent="0.2">
      <c r="A355" s="4" t="s">
        <v>368</v>
      </c>
      <c r="B355" s="4" t="str">
        <f t="shared" si="1"/>
        <v>Donors Capital Fund_State Policy Network201135000</v>
      </c>
      <c r="C355" s="4" t="str">
        <f ca="1">IFERROR(__xludf.DUMMYFUNCTION("ARRAY_CONSTRAIN(ARRAYFORMULA(SINGLE(TEXTJOIN(""_"",TRUE,D355,G355))), 1, 1)"),"Donors Capital Fund_2011")</f>
        <v>Donors Capital Fund_2011</v>
      </c>
      <c r="D355" s="4" t="s">
        <v>10</v>
      </c>
      <c r="E355" s="8" t="s">
        <v>46</v>
      </c>
      <c r="F355" s="6">
        <v>35000</v>
      </c>
      <c r="G355" s="4">
        <v>2011</v>
      </c>
    </row>
    <row r="356" spans="1:7" ht="15.75" customHeight="1" x14ac:dyDescent="0.2">
      <c r="A356" s="4" t="s">
        <v>368</v>
      </c>
      <c r="B356" s="4" t="str">
        <f t="shared" si="1"/>
        <v>Donors Capital Fund_State Policy Network201140000</v>
      </c>
      <c r="C356" s="4" t="str">
        <f ca="1">IFERROR(__xludf.DUMMYFUNCTION("ARRAY_CONSTRAIN(ARRAYFORMULA(SINGLE(TEXTJOIN(""_"",TRUE,D356,G356))), 1, 1)"),"Donors Capital Fund_2011")</f>
        <v>Donors Capital Fund_2011</v>
      </c>
      <c r="D356" s="4" t="s">
        <v>10</v>
      </c>
      <c r="E356" s="8" t="s">
        <v>46</v>
      </c>
      <c r="F356" s="6">
        <v>40000</v>
      </c>
      <c r="G356" s="4">
        <v>2011</v>
      </c>
    </row>
    <row r="357" spans="1:7" ht="15.75" customHeight="1" x14ac:dyDescent="0.2">
      <c r="A357" s="4" t="s">
        <v>368</v>
      </c>
      <c r="B357" s="4" t="str">
        <f t="shared" si="1"/>
        <v>Donors Capital Fund_State Policy Network201140000</v>
      </c>
      <c r="C357" s="4" t="str">
        <f ca="1">IFERROR(__xludf.DUMMYFUNCTION("ARRAY_CONSTRAIN(ARRAYFORMULA(SINGLE(TEXTJOIN(""_"",TRUE,D357,G357))), 1, 1)"),"Donors Capital Fund_2011")</f>
        <v>Donors Capital Fund_2011</v>
      </c>
      <c r="D357" s="4" t="s">
        <v>10</v>
      </c>
      <c r="E357" s="8" t="s">
        <v>46</v>
      </c>
      <c r="F357" s="6">
        <v>40000</v>
      </c>
      <c r="G357" s="4">
        <v>2011</v>
      </c>
    </row>
    <row r="358" spans="1:7" ht="15.75" customHeight="1" x14ac:dyDescent="0.2">
      <c r="A358" s="4" t="s">
        <v>368</v>
      </c>
      <c r="B358" s="4" t="str">
        <f t="shared" si="1"/>
        <v>Donors Capital Fund_State Policy Network2011400000</v>
      </c>
      <c r="C358" s="4" t="str">
        <f ca="1">IFERROR(__xludf.DUMMYFUNCTION("ARRAY_CONSTRAIN(ARRAYFORMULA(SINGLE(TEXTJOIN(""_"",TRUE,D358,G358))), 1, 1)"),"Donors Capital Fund_2011")</f>
        <v>Donors Capital Fund_2011</v>
      </c>
      <c r="D358" s="4" t="s">
        <v>10</v>
      </c>
      <c r="E358" s="8" t="s">
        <v>46</v>
      </c>
      <c r="F358" s="6">
        <v>400000</v>
      </c>
      <c r="G358" s="4">
        <v>2011</v>
      </c>
    </row>
    <row r="359" spans="1:7" ht="15.75" customHeight="1" x14ac:dyDescent="0.2">
      <c r="A359" s="4" t="s">
        <v>368</v>
      </c>
      <c r="B359" s="4" t="str">
        <f t="shared" si="1"/>
        <v>Donors Capital Fund_State Policy Network201144219</v>
      </c>
      <c r="C359" s="4" t="str">
        <f ca="1">IFERROR(__xludf.DUMMYFUNCTION("ARRAY_CONSTRAIN(ARRAYFORMULA(SINGLE(TEXTJOIN(""_"",TRUE,D359,G359))), 1, 1)"),"Donors Capital Fund_2011")</f>
        <v>Donors Capital Fund_2011</v>
      </c>
      <c r="D359" s="4" t="s">
        <v>10</v>
      </c>
      <c r="E359" s="8" t="s">
        <v>46</v>
      </c>
      <c r="F359" s="6">
        <v>44219</v>
      </c>
      <c r="G359" s="4">
        <v>2011</v>
      </c>
    </row>
    <row r="360" spans="1:7" ht="15.75" customHeight="1" x14ac:dyDescent="0.2">
      <c r="A360" s="4" t="s">
        <v>368</v>
      </c>
      <c r="B360" s="4" t="str">
        <f t="shared" si="1"/>
        <v>Donors Capital Fund_State Policy Network201150000</v>
      </c>
      <c r="C360" s="4" t="str">
        <f ca="1">IFERROR(__xludf.DUMMYFUNCTION("ARRAY_CONSTRAIN(ARRAYFORMULA(SINGLE(TEXTJOIN(""_"",TRUE,D360,G360))), 1, 1)"),"Donors Capital Fund_2011")</f>
        <v>Donors Capital Fund_2011</v>
      </c>
      <c r="D360" s="4" t="s">
        <v>10</v>
      </c>
      <c r="E360" s="8" t="s">
        <v>46</v>
      </c>
      <c r="F360" s="6">
        <v>50000</v>
      </c>
      <c r="G360" s="4">
        <v>2011</v>
      </c>
    </row>
    <row r="361" spans="1:7" ht="15.75" customHeight="1" x14ac:dyDescent="0.2">
      <c r="A361" s="4" t="s">
        <v>368</v>
      </c>
      <c r="B361" s="4" t="str">
        <f t="shared" si="1"/>
        <v>Donors Capital Fund_State Policy Network201150000</v>
      </c>
      <c r="C361" s="4" t="str">
        <f ca="1">IFERROR(__xludf.DUMMYFUNCTION("ARRAY_CONSTRAIN(ARRAYFORMULA(SINGLE(TEXTJOIN(""_"",TRUE,D361,G361))), 1, 1)"),"Donors Capital Fund_2011")</f>
        <v>Donors Capital Fund_2011</v>
      </c>
      <c r="D361" s="4" t="s">
        <v>10</v>
      </c>
      <c r="E361" s="8" t="s">
        <v>46</v>
      </c>
      <c r="F361" s="6">
        <v>50000</v>
      </c>
      <c r="G361" s="4">
        <v>2011</v>
      </c>
    </row>
    <row r="362" spans="1:7" ht="15.75" customHeight="1" x14ac:dyDescent="0.2">
      <c r="A362" s="4" t="s">
        <v>368</v>
      </c>
      <c r="B362" s="4" t="str">
        <f t="shared" si="1"/>
        <v>Donors Capital Fund_State Policy Network201150000</v>
      </c>
      <c r="C362" s="4" t="str">
        <f ca="1">IFERROR(__xludf.DUMMYFUNCTION("ARRAY_CONSTRAIN(ARRAYFORMULA(SINGLE(TEXTJOIN(""_"",TRUE,D362,G362))), 1, 1)"),"Donors Capital Fund_2011")</f>
        <v>Donors Capital Fund_2011</v>
      </c>
      <c r="D362" s="4" t="s">
        <v>10</v>
      </c>
      <c r="E362" s="8" t="s">
        <v>46</v>
      </c>
      <c r="F362" s="6">
        <v>50000</v>
      </c>
      <c r="G362" s="4">
        <v>2011</v>
      </c>
    </row>
    <row r="363" spans="1:7" ht="15.75" customHeight="1" x14ac:dyDescent="0.2">
      <c r="A363" s="4" t="s">
        <v>368</v>
      </c>
      <c r="B363" s="4" t="str">
        <f t="shared" si="1"/>
        <v>Donors Capital Fund_State Policy Network2011500000</v>
      </c>
      <c r="C363" s="4" t="str">
        <f ca="1">IFERROR(__xludf.DUMMYFUNCTION("ARRAY_CONSTRAIN(ARRAYFORMULA(SINGLE(TEXTJOIN(""_"",TRUE,D363,G363))), 1, 1)"),"Donors Capital Fund_2011")</f>
        <v>Donors Capital Fund_2011</v>
      </c>
      <c r="D363" s="4" t="s">
        <v>10</v>
      </c>
      <c r="E363" s="8" t="s">
        <v>46</v>
      </c>
      <c r="F363" s="6">
        <v>500000</v>
      </c>
      <c r="G363" s="4">
        <v>2011</v>
      </c>
    </row>
    <row r="364" spans="1:7" ht="15.75" customHeight="1" x14ac:dyDescent="0.2">
      <c r="A364" s="4" t="s">
        <v>368</v>
      </c>
      <c r="B364" s="4" t="str">
        <f t="shared" si="1"/>
        <v>Donors Capital Fund_State Policy Network201165000</v>
      </c>
      <c r="C364" s="4" t="str">
        <f ca="1">IFERROR(__xludf.DUMMYFUNCTION("ARRAY_CONSTRAIN(ARRAYFORMULA(SINGLE(TEXTJOIN(""_"",TRUE,D364,G364))), 1, 1)"),"Donors Capital Fund_2011")</f>
        <v>Donors Capital Fund_2011</v>
      </c>
      <c r="D364" s="4" t="s">
        <v>10</v>
      </c>
      <c r="E364" s="8" t="s">
        <v>46</v>
      </c>
      <c r="F364" s="6">
        <v>65000</v>
      </c>
      <c r="G364" s="4">
        <v>2011</v>
      </c>
    </row>
    <row r="365" spans="1:7" ht="15.75" customHeight="1" x14ac:dyDescent="0.2">
      <c r="A365" s="4" t="s">
        <v>368</v>
      </c>
      <c r="B365" s="4" t="str">
        <f t="shared" si="1"/>
        <v>Donors Capital Fund_State Policy Network20117985</v>
      </c>
      <c r="C365" s="4" t="str">
        <f ca="1">IFERROR(__xludf.DUMMYFUNCTION("ARRAY_CONSTRAIN(ARRAYFORMULA(SINGLE(TEXTJOIN(""_"",TRUE,D365,G365))), 1, 1)"),"Donors Capital Fund_2011")</f>
        <v>Donors Capital Fund_2011</v>
      </c>
      <c r="D365" s="4" t="s">
        <v>10</v>
      </c>
      <c r="E365" s="8" t="s">
        <v>46</v>
      </c>
      <c r="F365" s="6">
        <v>7985</v>
      </c>
      <c r="G365" s="4">
        <v>2011</v>
      </c>
    </row>
    <row r="366" spans="1:7" ht="15.75" customHeight="1" x14ac:dyDescent="0.2">
      <c r="A366" s="4" t="s">
        <v>368</v>
      </c>
      <c r="B366" s="4" t="str">
        <f t="shared" si="1"/>
        <v>Donors Capital Fund_State Policy Network201180000</v>
      </c>
      <c r="C366" s="4" t="str">
        <f ca="1">IFERROR(__xludf.DUMMYFUNCTION("ARRAY_CONSTRAIN(ARRAYFORMULA(SINGLE(TEXTJOIN(""_"",TRUE,D366,G366))), 1, 1)"),"Donors Capital Fund_2011")</f>
        <v>Donors Capital Fund_2011</v>
      </c>
      <c r="D366" s="4" t="s">
        <v>10</v>
      </c>
      <c r="E366" s="8" t="s">
        <v>46</v>
      </c>
      <c r="F366" s="6">
        <v>80000</v>
      </c>
      <c r="G366" s="4">
        <v>2011</v>
      </c>
    </row>
    <row r="367" spans="1:7" ht="15.75" customHeight="1" x14ac:dyDescent="0.2">
      <c r="A367" s="4" t="s">
        <v>368</v>
      </c>
      <c r="B367" s="4" t="str">
        <f t="shared" si="1"/>
        <v>Donors Capital Fund_State Policy Network20101753000</v>
      </c>
      <c r="C367" s="4" t="str">
        <f ca="1">IFERROR(__xludf.DUMMYFUNCTION("ARRAY_CONSTRAIN(ARRAYFORMULA(SINGLE(TEXTJOIN(""_"",TRUE,D367,G367))), 1, 1)"),"Donors Capital Fund_2010")</f>
        <v>Donors Capital Fund_2010</v>
      </c>
      <c r="D367" s="4" t="s">
        <v>10</v>
      </c>
      <c r="E367" s="8" t="s">
        <v>46</v>
      </c>
      <c r="F367" s="6">
        <v>1753000</v>
      </c>
      <c r="G367" s="4">
        <v>2010</v>
      </c>
    </row>
    <row r="368" spans="1:7" ht="15.75" customHeight="1" x14ac:dyDescent="0.2">
      <c r="A368" s="4" t="s">
        <v>368</v>
      </c>
      <c r="B368" s="4" t="str">
        <f t="shared" si="1"/>
        <v>Donors Capital Fund_State Policy Network20092570047</v>
      </c>
      <c r="C368" s="4" t="str">
        <f ca="1">IFERROR(__xludf.DUMMYFUNCTION("ARRAY_CONSTRAIN(ARRAYFORMULA(SINGLE(TEXTJOIN(""_"",TRUE,D368,G368))), 1, 1)"),"Donors Capital Fund_2009")</f>
        <v>Donors Capital Fund_2009</v>
      </c>
      <c r="D368" s="4" t="s">
        <v>10</v>
      </c>
      <c r="E368" s="8" t="s">
        <v>46</v>
      </c>
      <c r="F368" s="6">
        <v>2570047</v>
      </c>
      <c r="G368" s="4">
        <v>2009</v>
      </c>
    </row>
    <row r="369" spans="1:8" ht="15.75" customHeight="1" x14ac:dyDescent="0.2">
      <c r="A369" s="4" t="s">
        <v>368</v>
      </c>
      <c r="B369" s="4" t="str">
        <f t="shared" si="1"/>
        <v>Donors Capital Fund_State Policy Network20081488750</v>
      </c>
      <c r="C369" s="4" t="str">
        <f ca="1">IFERROR(__xludf.DUMMYFUNCTION("ARRAY_CONSTRAIN(ARRAYFORMULA(SINGLE(TEXTJOIN(""_"",TRUE,D369,G369))), 1, 1)"),"Donors Capital Fund_2008")</f>
        <v>Donors Capital Fund_2008</v>
      </c>
      <c r="D369" s="4" t="s">
        <v>10</v>
      </c>
      <c r="E369" s="8" t="s">
        <v>46</v>
      </c>
      <c r="F369" s="6">
        <v>1488750</v>
      </c>
      <c r="G369" s="4">
        <v>2008</v>
      </c>
    </row>
    <row r="370" spans="1:8" ht="15.75" customHeight="1" x14ac:dyDescent="0.2">
      <c r="A370" s="4" t="s">
        <v>368</v>
      </c>
      <c r="B370" s="4" t="str">
        <f t="shared" si="1"/>
        <v>Donors Capital Fund_State Policy Network20071522600</v>
      </c>
      <c r="C370" s="4" t="str">
        <f ca="1">IFERROR(__xludf.DUMMYFUNCTION("ARRAY_CONSTRAIN(ARRAYFORMULA(SINGLE(TEXTJOIN(""_"",TRUE,D370,G370))), 1, 1)"),"Donors Capital Fund_2007")</f>
        <v>Donors Capital Fund_2007</v>
      </c>
      <c r="D370" s="4" t="s">
        <v>10</v>
      </c>
      <c r="E370" s="8" t="s">
        <v>46</v>
      </c>
      <c r="F370" s="6">
        <v>1522600</v>
      </c>
      <c r="G370" s="4">
        <v>2007</v>
      </c>
    </row>
    <row r="371" spans="1:8" ht="15.75" customHeight="1" x14ac:dyDescent="0.2">
      <c r="A371" s="4" t="s">
        <v>368</v>
      </c>
      <c r="B371" s="4" t="str">
        <f t="shared" si="1"/>
        <v>Donors Capital Fund_State Policy Network200576000</v>
      </c>
      <c r="C371" s="4" t="str">
        <f ca="1">IFERROR(__xludf.DUMMYFUNCTION("ARRAY_CONSTRAIN(ARRAYFORMULA(SINGLE(TEXTJOIN(""_"",TRUE,D371,G371))), 1, 1)"),"Donors Capital Fund_2005")</f>
        <v>Donors Capital Fund_2005</v>
      </c>
      <c r="D371" s="4" t="s">
        <v>10</v>
      </c>
      <c r="E371" s="8" t="s">
        <v>46</v>
      </c>
      <c r="F371" s="6">
        <v>76000</v>
      </c>
      <c r="G371" s="4">
        <v>2005</v>
      </c>
    </row>
    <row r="372" spans="1:8" ht="15.75" customHeight="1" x14ac:dyDescent="0.2">
      <c r="A372" s="4" t="s">
        <v>368</v>
      </c>
      <c r="B372" s="4" t="str">
        <f t="shared" si="1"/>
        <v>Donors Capital Fund_State Policy Network20041000</v>
      </c>
      <c r="C372" s="4" t="str">
        <f ca="1">IFERROR(__xludf.DUMMYFUNCTION("ARRAY_CONSTRAIN(ARRAYFORMULA(SINGLE(TEXTJOIN(""_"",TRUE,D372,G372))), 1, 1)"),"Donors Capital Fund_2004")</f>
        <v>Donors Capital Fund_2004</v>
      </c>
      <c r="D372" s="4" t="s">
        <v>10</v>
      </c>
      <c r="E372" s="8" t="s">
        <v>46</v>
      </c>
      <c r="F372" s="6">
        <v>1000</v>
      </c>
      <c r="G372" s="4">
        <v>2004</v>
      </c>
    </row>
    <row r="373" spans="1:8" ht="15.75" customHeight="1" x14ac:dyDescent="0.2">
      <c r="A373" s="4" t="s">
        <v>368</v>
      </c>
      <c r="B373" s="4" t="str">
        <f t="shared" si="1"/>
        <v>Donors Capital Fund_State Policy Network20031000</v>
      </c>
      <c r="C373" s="4" t="str">
        <f ca="1">IFERROR(__xludf.DUMMYFUNCTION("ARRAY_CONSTRAIN(ARRAYFORMULA(SINGLE(TEXTJOIN(""_"",TRUE,D373,G373))), 1, 1)"),"Donors Capital Fund_2003")</f>
        <v>Donors Capital Fund_2003</v>
      </c>
      <c r="D373" s="4" t="s">
        <v>10</v>
      </c>
      <c r="E373" s="8" t="s">
        <v>46</v>
      </c>
      <c r="F373" s="6">
        <v>1000</v>
      </c>
      <c r="G373" s="4">
        <v>2003</v>
      </c>
    </row>
    <row r="374" spans="1:8" ht="15.75" customHeight="1" x14ac:dyDescent="0.2">
      <c r="A374" s="4" t="s">
        <v>368</v>
      </c>
      <c r="B374" s="4" t="str">
        <f t="shared" si="1"/>
        <v>Donors Capital Fund_State Policy Network20021000</v>
      </c>
      <c r="C374" s="4" t="str">
        <f ca="1">IFERROR(__xludf.DUMMYFUNCTION("ARRAY_CONSTRAIN(ARRAYFORMULA(SINGLE(TEXTJOIN(""_"",TRUE,D374,G374))), 1, 1)"),"Donors Capital Fund_2002")</f>
        <v>Donors Capital Fund_2002</v>
      </c>
      <c r="D374" s="4" t="s">
        <v>10</v>
      </c>
      <c r="E374" s="8" t="s">
        <v>46</v>
      </c>
      <c r="F374" s="6">
        <v>1000</v>
      </c>
      <c r="G374" s="4">
        <v>2002</v>
      </c>
    </row>
    <row r="375" spans="1:8" ht="15.75" customHeight="1" x14ac:dyDescent="0.2">
      <c r="A375" s="4" t="s">
        <v>454</v>
      </c>
      <c r="B375" s="4" t="str">
        <f t="shared" si="1"/>
        <v>DonorsTrust_State Policy Network2022100000</v>
      </c>
      <c r="C375" s="4" t="str">
        <f ca="1">IFERROR(__xludf.DUMMYFUNCTION("ARRAY_CONSTRAIN(ARRAYFORMULA(SINGLE(TEXTJOIN(""_"",TRUE,D375,G375))), 1, 1)"),"DonorsTrust_2022")</f>
        <v>DonorsTrust_2022</v>
      </c>
      <c r="D375" s="4" t="s">
        <v>9</v>
      </c>
      <c r="E375" s="8" t="s">
        <v>46</v>
      </c>
      <c r="F375" s="6">
        <v>100000</v>
      </c>
      <c r="G375" s="4">
        <v>2022</v>
      </c>
      <c r="H375" s="4" t="s">
        <v>361</v>
      </c>
    </row>
    <row r="376" spans="1:8" ht="15.75" customHeight="1" x14ac:dyDescent="0.2">
      <c r="A376" s="4" t="s">
        <v>454</v>
      </c>
      <c r="B376" s="4" t="str">
        <f t="shared" si="1"/>
        <v>DonorsTrust_State Policy Network20228542400</v>
      </c>
      <c r="C376" s="4" t="str">
        <f ca="1">IFERROR(__xludf.DUMMYFUNCTION("ARRAY_CONSTRAIN(ARRAYFORMULA(SINGLE(TEXTJOIN(""_"",TRUE,D376,G376))), 1, 1)"),"DonorsTrust_2022")</f>
        <v>DonorsTrust_2022</v>
      </c>
      <c r="D376" s="4" t="s">
        <v>9</v>
      </c>
      <c r="E376" s="8" t="s">
        <v>46</v>
      </c>
      <c r="F376" s="6">
        <v>8542400</v>
      </c>
      <c r="G376" s="4">
        <v>2022</v>
      </c>
      <c r="H376" s="4" t="s">
        <v>361</v>
      </c>
    </row>
    <row r="377" spans="1:8" ht="15.75" customHeight="1" x14ac:dyDescent="0.2">
      <c r="A377" s="4" t="s">
        <v>454</v>
      </c>
      <c r="B377" s="4" t="str">
        <f t="shared" si="1"/>
        <v>DonorsTrust_State Policy Network202250000</v>
      </c>
      <c r="C377" s="4" t="str">
        <f ca="1">IFERROR(__xludf.DUMMYFUNCTION("ARRAY_CONSTRAIN(ARRAYFORMULA(SINGLE(TEXTJOIN(""_"",TRUE,D377,G377))), 1, 1)"),"DonorsTrust_2022")</f>
        <v>DonorsTrust_2022</v>
      </c>
      <c r="D377" s="4" t="s">
        <v>9</v>
      </c>
      <c r="E377" s="8" t="s">
        <v>46</v>
      </c>
      <c r="F377" s="6">
        <v>50000</v>
      </c>
      <c r="G377" s="4">
        <v>2022</v>
      </c>
      <c r="H377" s="4" t="s">
        <v>361</v>
      </c>
    </row>
    <row r="378" spans="1:8" ht="15.75" customHeight="1" x14ac:dyDescent="0.2">
      <c r="A378" s="4">
        <v>990</v>
      </c>
      <c r="B378" s="4" t="str">
        <f t="shared" si="1"/>
        <v>DonorsTrust_State Policy Network202126000</v>
      </c>
      <c r="C378" s="4" t="str">
        <f ca="1">IFERROR(__xludf.DUMMYFUNCTION("ARRAY_CONSTRAIN(ARRAYFORMULA(SINGLE(TEXTJOIN(""_"",TRUE,D378,G378))), 1, 1)"),"DonorsTrust_2021")</f>
        <v>DonorsTrust_2021</v>
      </c>
      <c r="D378" s="4" t="s">
        <v>9</v>
      </c>
      <c r="E378" s="8" t="s">
        <v>46</v>
      </c>
      <c r="F378" s="6">
        <v>26000</v>
      </c>
      <c r="G378" s="4">
        <v>2021</v>
      </c>
      <c r="H378" s="8" t="s">
        <v>361</v>
      </c>
    </row>
    <row r="379" spans="1:8" ht="15.75" customHeight="1" x14ac:dyDescent="0.2">
      <c r="A379" s="4">
        <v>990</v>
      </c>
      <c r="B379" s="4" t="str">
        <f t="shared" si="1"/>
        <v>DonorsTrust_State Policy Network202175000</v>
      </c>
      <c r="C379" s="4" t="str">
        <f ca="1">IFERROR(__xludf.DUMMYFUNCTION("ARRAY_CONSTRAIN(ARRAYFORMULA(SINGLE(TEXTJOIN(""_"",TRUE,D379,G379))), 1, 1)"),"DonorsTrust_2021")</f>
        <v>DonorsTrust_2021</v>
      </c>
      <c r="D379" s="4" t="s">
        <v>9</v>
      </c>
      <c r="E379" s="8" t="s">
        <v>46</v>
      </c>
      <c r="F379" s="6">
        <v>75000</v>
      </c>
      <c r="G379" s="4">
        <v>2021</v>
      </c>
      <c r="H379" s="8" t="s">
        <v>361</v>
      </c>
    </row>
    <row r="380" spans="1:8" ht="15.75" customHeight="1" x14ac:dyDescent="0.2">
      <c r="A380" s="4">
        <v>990</v>
      </c>
      <c r="B380" s="4" t="str">
        <f t="shared" si="1"/>
        <v>DonorsTrust_State Policy Network20218933775</v>
      </c>
      <c r="C380" s="4" t="str">
        <f ca="1">IFERROR(__xludf.DUMMYFUNCTION("ARRAY_CONSTRAIN(ARRAYFORMULA(SINGLE(TEXTJOIN(""_"",TRUE,D380,G380))), 1, 1)"),"DonorsTrust_2021")</f>
        <v>DonorsTrust_2021</v>
      </c>
      <c r="D380" s="4" t="s">
        <v>9</v>
      </c>
      <c r="E380" s="8" t="s">
        <v>46</v>
      </c>
      <c r="F380" s="6">
        <v>8933775</v>
      </c>
      <c r="G380" s="4">
        <v>2021</v>
      </c>
      <c r="H380" s="8" t="s">
        <v>361</v>
      </c>
    </row>
    <row r="381" spans="1:8" ht="15.75" customHeight="1" x14ac:dyDescent="0.2">
      <c r="A381" s="4">
        <v>990</v>
      </c>
      <c r="B381" s="4" t="str">
        <f t="shared" si="1"/>
        <v>DonorsTrust_State Policy Network20207952550</v>
      </c>
      <c r="C381" s="4" t="str">
        <f ca="1">IFERROR(__xludf.DUMMYFUNCTION("ARRAY_CONSTRAIN(ARRAYFORMULA(SINGLE(TEXTJOIN(""_"",TRUE,D381,G381))), 1, 1)"),"DonorsTrust_2020")</f>
        <v>DonorsTrust_2020</v>
      </c>
      <c r="D381" s="4" t="s">
        <v>9</v>
      </c>
      <c r="E381" s="8" t="s">
        <v>46</v>
      </c>
      <c r="F381" s="6">
        <v>7952550</v>
      </c>
      <c r="G381" s="4">
        <v>2020</v>
      </c>
      <c r="H381" s="8" t="s">
        <v>361</v>
      </c>
    </row>
    <row r="382" spans="1:8" ht="15.75" customHeight="1" x14ac:dyDescent="0.2">
      <c r="A382" s="4">
        <v>990</v>
      </c>
      <c r="B382" s="4" t="str">
        <f t="shared" si="1"/>
        <v>DonorsTrust_State Policy Network20202000</v>
      </c>
      <c r="C382" s="4" t="str">
        <f ca="1">IFERROR(__xludf.DUMMYFUNCTION("ARRAY_CONSTRAIN(ARRAYFORMULA(SINGLE(TEXTJOIN(""_"",TRUE,D382,G382))), 1, 1)"),"DonorsTrust_2020")</f>
        <v>DonorsTrust_2020</v>
      </c>
      <c r="D382" s="4" t="s">
        <v>9</v>
      </c>
      <c r="E382" s="8" t="s">
        <v>46</v>
      </c>
      <c r="F382" s="6">
        <v>2000</v>
      </c>
      <c r="G382" s="4">
        <v>2020</v>
      </c>
      <c r="H382" s="8" t="s">
        <v>361</v>
      </c>
    </row>
    <row r="383" spans="1:8" ht="15.75" customHeight="1" x14ac:dyDescent="0.2">
      <c r="A383" s="4">
        <v>990</v>
      </c>
      <c r="B383" s="4" t="str">
        <f t="shared" si="1"/>
        <v>DonorsTrust_State Policy Network2020350000</v>
      </c>
      <c r="C383" s="4" t="str">
        <f ca="1">IFERROR(__xludf.DUMMYFUNCTION("ARRAY_CONSTRAIN(ARRAYFORMULA(SINGLE(TEXTJOIN(""_"",TRUE,D383,G383))), 1, 1)"),"DonorsTrust_2020")</f>
        <v>DonorsTrust_2020</v>
      </c>
      <c r="D383" s="4" t="s">
        <v>9</v>
      </c>
      <c r="E383" s="8" t="s">
        <v>46</v>
      </c>
      <c r="F383" s="6">
        <v>350000</v>
      </c>
      <c r="G383" s="4">
        <v>2020</v>
      </c>
      <c r="H383" s="8" t="s">
        <v>361</v>
      </c>
    </row>
    <row r="384" spans="1:8" ht="15.75" customHeight="1" x14ac:dyDescent="0.2">
      <c r="A384" s="4">
        <v>990</v>
      </c>
      <c r="B384" s="4" t="str">
        <f t="shared" si="1"/>
        <v>DonorsTrust_State Policy Network20191721</v>
      </c>
      <c r="C384" s="4" t="str">
        <f ca="1">IFERROR(__xludf.DUMMYFUNCTION("ARRAY_CONSTRAIN(ARRAYFORMULA(SINGLE(TEXTJOIN(""_"",TRUE,D384,G384))), 1, 1)"),"DonorsTrust_2019")</f>
        <v>DonorsTrust_2019</v>
      </c>
      <c r="D384" s="4" t="s">
        <v>9</v>
      </c>
      <c r="E384" s="8" t="s">
        <v>46</v>
      </c>
      <c r="F384" s="6">
        <v>1721</v>
      </c>
      <c r="G384" s="4">
        <v>2019</v>
      </c>
      <c r="H384" s="8" t="s">
        <v>361</v>
      </c>
    </row>
    <row r="385" spans="1:8" ht="15.75" customHeight="1" x14ac:dyDescent="0.2">
      <c r="A385" s="4">
        <v>990</v>
      </c>
      <c r="B385" s="4" t="str">
        <f t="shared" si="1"/>
        <v>DonorsTrust_State Policy Network2019700000</v>
      </c>
      <c r="C385" s="4" t="str">
        <f ca="1">IFERROR(__xludf.DUMMYFUNCTION("ARRAY_CONSTRAIN(ARRAYFORMULA(SINGLE(TEXTJOIN(""_"",TRUE,D385,G385))), 1, 1)"),"DonorsTrust_2019")</f>
        <v>DonorsTrust_2019</v>
      </c>
      <c r="D385" s="4" t="s">
        <v>9</v>
      </c>
      <c r="E385" s="8" t="s">
        <v>46</v>
      </c>
      <c r="F385" s="6">
        <v>700000</v>
      </c>
      <c r="G385" s="4">
        <v>2019</v>
      </c>
      <c r="H385" s="8" t="s">
        <v>361</v>
      </c>
    </row>
    <row r="386" spans="1:8" ht="15.75" customHeight="1" x14ac:dyDescent="0.2">
      <c r="A386" s="4">
        <v>990</v>
      </c>
      <c r="B386" s="4" t="str">
        <f t="shared" si="1"/>
        <v>DonorsTrust_State Policy Network201937500</v>
      </c>
      <c r="C386" s="4" t="str">
        <f ca="1">IFERROR(__xludf.DUMMYFUNCTION("ARRAY_CONSTRAIN(ARRAYFORMULA(SINGLE(TEXTJOIN(""_"",TRUE,D386,G386))), 1, 1)"),"DonorsTrust_2019")</f>
        <v>DonorsTrust_2019</v>
      </c>
      <c r="D386" s="4" t="s">
        <v>9</v>
      </c>
      <c r="E386" s="8" t="s">
        <v>46</v>
      </c>
      <c r="F386" s="6">
        <v>37500</v>
      </c>
      <c r="G386" s="4">
        <v>2019</v>
      </c>
      <c r="H386" s="8" t="s">
        <v>361</v>
      </c>
    </row>
    <row r="387" spans="1:8" ht="15.75" customHeight="1" x14ac:dyDescent="0.2">
      <c r="A387" s="4">
        <v>990</v>
      </c>
      <c r="B387" s="4" t="str">
        <f t="shared" si="1"/>
        <v>DonorsTrust_State Policy Network20196504900</v>
      </c>
      <c r="C387" s="4" t="str">
        <f ca="1">IFERROR(__xludf.DUMMYFUNCTION("ARRAY_CONSTRAIN(ARRAYFORMULA(SINGLE(TEXTJOIN(""_"",TRUE,D387,G387))), 1, 1)"),"DonorsTrust_2019")</f>
        <v>DonorsTrust_2019</v>
      </c>
      <c r="D387" s="4" t="s">
        <v>9</v>
      </c>
      <c r="E387" s="8" t="s">
        <v>46</v>
      </c>
      <c r="F387" s="6">
        <v>6504900</v>
      </c>
      <c r="G387" s="4">
        <v>2019</v>
      </c>
      <c r="H387" s="8" t="s">
        <v>361</v>
      </c>
    </row>
    <row r="388" spans="1:8" ht="15.75" customHeight="1" x14ac:dyDescent="0.2">
      <c r="A388" s="4">
        <v>990</v>
      </c>
      <c r="B388" s="4" t="str">
        <f t="shared" si="1"/>
        <v>DonorsTrust_State Policy Network20192000</v>
      </c>
      <c r="C388" s="4" t="str">
        <f ca="1">IFERROR(__xludf.DUMMYFUNCTION("ARRAY_CONSTRAIN(ARRAYFORMULA(SINGLE(TEXTJOIN(""_"",TRUE,D388,G388))), 1, 1)"),"DonorsTrust_2019")</f>
        <v>DonorsTrust_2019</v>
      </c>
      <c r="D388" s="4" t="s">
        <v>9</v>
      </c>
      <c r="E388" s="8" t="s">
        <v>46</v>
      </c>
      <c r="F388" s="6">
        <v>2000</v>
      </c>
      <c r="G388" s="4">
        <v>2019</v>
      </c>
      <c r="H388" s="8" t="s">
        <v>361</v>
      </c>
    </row>
    <row r="389" spans="1:8" ht="15.75" customHeight="1" x14ac:dyDescent="0.2">
      <c r="A389" s="4">
        <v>990</v>
      </c>
      <c r="B389" s="4" t="str">
        <f t="shared" si="1"/>
        <v>DonorsTrust_State Policy Network20187539300</v>
      </c>
      <c r="C389" s="4" t="str">
        <f ca="1">IFERROR(__xludf.DUMMYFUNCTION("ARRAY_CONSTRAIN(ARRAYFORMULA(SINGLE(TEXTJOIN(""_"",TRUE,D389,G389))), 1, 1)"),"DonorsTrust_2018")</f>
        <v>DonorsTrust_2018</v>
      </c>
      <c r="D389" s="4" t="s">
        <v>9</v>
      </c>
      <c r="E389" s="8" t="s">
        <v>46</v>
      </c>
      <c r="F389" s="6">
        <v>7539300</v>
      </c>
      <c r="G389" s="4">
        <v>2018</v>
      </c>
      <c r="H389" s="8" t="s">
        <v>361</v>
      </c>
    </row>
    <row r="390" spans="1:8" ht="15.75" customHeight="1" x14ac:dyDescent="0.2">
      <c r="A390" s="4">
        <v>990</v>
      </c>
      <c r="B390" s="4" t="str">
        <f t="shared" si="1"/>
        <v>DonorsTrust_State Policy Network201750000</v>
      </c>
      <c r="C390" s="4" t="str">
        <f ca="1">IFERROR(__xludf.DUMMYFUNCTION("ARRAY_CONSTRAIN(ARRAYFORMULA(SINGLE(TEXTJOIN(""_"",TRUE,D390,G390))), 1, 1)"),"DonorsTrust_2017")</f>
        <v>DonorsTrust_2017</v>
      </c>
      <c r="D390" s="4" t="s">
        <v>9</v>
      </c>
      <c r="E390" s="8" t="s">
        <v>46</v>
      </c>
      <c r="F390" s="6">
        <v>50000</v>
      </c>
      <c r="G390" s="4">
        <v>2017</v>
      </c>
      <c r="H390" s="4" t="s">
        <v>361</v>
      </c>
    </row>
    <row r="391" spans="1:8" ht="15.75" customHeight="1" x14ac:dyDescent="0.2">
      <c r="A391" s="4">
        <v>990</v>
      </c>
      <c r="B391" s="4" t="str">
        <f t="shared" si="1"/>
        <v>DonorsTrust_State Policy Network201710000</v>
      </c>
      <c r="C391" s="4" t="str">
        <f ca="1">IFERROR(__xludf.DUMMYFUNCTION("ARRAY_CONSTRAIN(ARRAYFORMULA(SINGLE(TEXTJOIN(""_"",TRUE,D391,G391))), 1, 1)"),"DonorsTrust_2017")</f>
        <v>DonorsTrust_2017</v>
      </c>
      <c r="D391" s="4" t="s">
        <v>9</v>
      </c>
      <c r="E391" s="8" t="s">
        <v>46</v>
      </c>
      <c r="F391" s="6">
        <v>10000</v>
      </c>
      <c r="G391" s="4">
        <v>2017</v>
      </c>
      <c r="H391" s="4" t="s">
        <v>361</v>
      </c>
    </row>
    <row r="392" spans="1:8" ht="15.75" customHeight="1" x14ac:dyDescent="0.2">
      <c r="A392" s="4">
        <v>990</v>
      </c>
      <c r="B392" s="4" t="str">
        <f t="shared" si="1"/>
        <v>DonorsTrust_State Policy Network201731000</v>
      </c>
      <c r="C392" s="4" t="str">
        <f ca="1">IFERROR(__xludf.DUMMYFUNCTION("ARRAY_CONSTRAIN(ARRAYFORMULA(SINGLE(TEXTJOIN(""_"",TRUE,D392,G392))), 1, 1)"),"DonorsTrust_2017")</f>
        <v>DonorsTrust_2017</v>
      </c>
      <c r="D392" s="4" t="s">
        <v>9</v>
      </c>
      <c r="E392" s="8" t="s">
        <v>46</v>
      </c>
      <c r="F392" s="6">
        <v>31000</v>
      </c>
      <c r="G392" s="4">
        <v>2017</v>
      </c>
      <c r="H392" s="4" t="s">
        <v>361</v>
      </c>
    </row>
    <row r="393" spans="1:8" ht="15.75" customHeight="1" x14ac:dyDescent="0.2">
      <c r="A393" s="4">
        <v>990</v>
      </c>
      <c r="B393" s="4" t="str">
        <f t="shared" si="1"/>
        <v>DonorsTrust_State Policy Network2017724000</v>
      </c>
      <c r="C393" s="4" t="str">
        <f ca="1">IFERROR(__xludf.DUMMYFUNCTION("ARRAY_CONSTRAIN(ARRAYFORMULA(SINGLE(TEXTJOIN(""_"",TRUE,D393,G393))), 1, 1)"),"DonorsTrust_2017")</f>
        <v>DonorsTrust_2017</v>
      </c>
      <c r="D393" s="4" t="s">
        <v>9</v>
      </c>
      <c r="E393" s="8" t="s">
        <v>46</v>
      </c>
      <c r="F393" s="6">
        <v>724000</v>
      </c>
      <c r="G393" s="4">
        <v>2017</v>
      </c>
      <c r="H393" s="4" t="s">
        <v>361</v>
      </c>
    </row>
    <row r="394" spans="1:8" ht="15.75" customHeight="1" x14ac:dyDescent="0.2">
      <c r="A394" s="4">
        <v>990</v>
      </c>
      <c r="B394" s="4" t="str">
        <f t="shared" si="1"/>
        <v>DonorsTrust_State Policy Network201740000</v>
      </c>
      <c r="C394" s="4" t="str">
        <f ca="1">IFERROR(__xludf.DUMMYFUNCTION("ARRAY_CONSTRAIN(ARRAYFORMULA(SINGLE(TEXTJOIN(""_"",TRUE,D394,G394))), 1, 1)"),"DonorsTrust_2017")</f>
        <v>DonorsTrust_2017</v>
      </c>
      <c r="D394" s="4" t="s">
        <v>9</v>
      </c>
      <c r="E394" s="8" t="s">
        <v>46</v>
      </c>
      <c r="F394" s="6">
        <v>40000</v>
      </c>
      <c r="G394" s="4">
        <v>2017</v>
      </c>
      <c r="H394" s="4" t="s">
        <v>361</v>
      </c>
    </row>
    <row r="395" spans="1:8" ht="15.75" customHeight="1" x14ac:dyDescent="0.2">
      <c r="A395" s="4">
        <v>990</v>
      </c>
      <c r="B395" s="4" t="str">
        <f t="shared" si="1"/>
        <v>DonorsTrust_State Policy Network2017520150</v>
      </c>
      <c r="C395" s="4" t="str">
        <f ca="1">IFERROR(__xludf.DUMMYFUNCTION("ARRAY_CONSTRAIN(ARRAYFORMULA(SINGLE(TEXTJOIN(""_"",TRUE,D395,G395))), 1, 1)"),"DonorsTrust_2017")</f>
        <v>DonorsTrust_2017</v>
      </c>
      <c r="D395" s="4" t="s">
        <v>9</v>
      </c>
      <c r="E395" s="8" t="s">
        <v>46</v>
      </c>
      <c r="F395" s="6">
        <v>520150</v>
      </c>
      <c r="G395" s="4">
        <v>2017</v>
      </c>
      <c r="H395" s="4" t="s">
        <v>361</v>
      </c>
    </row>
    <row r="396" spans="1:8" ht="15.75" customHeight="1" x14ac:dyDescent="0.2">
      <c r="A396" s="4">
        <v>990</v>
      </c>
      <c r="B396" s="4" t="str">
        <f t="shared" si="1"/>
        <v>DonorsTrust_State Policy Network201720000</v>
      </c>
      <c r="C396" s="4" t="str">
        <f ca="1">IFERROR(__xludf.DUMMYFUNCTION("ARRAY_CONSTRAIN(ARRAYFORMULA(SINGLE(TEXTJOIN(""_"",TRUE,D396,G396))), 1, 1)"),"DonorsTrust_2017")</f>
        <v>DonorsTrust_2017</v>
      </c>
      <c r="D396" s="4" t="s">
        <v>9</v>
      </c>
      <c r="E396" s="8" t="s">
        <v>46</v>
      </c>
      <c r="F396" s="6">
        <v>20000</v>
      </c>
      <c r="G396" s="4">
        <v>2017</v>
      </c>
      <c r="H396" s="4" t="s">
        <v>361</v>
      </c>
    </row>
    <row r="397" spans="1:8" ht="15.75" customHeight="1" x14ac:dyDescent="0.2">
      <c r="A397" s="4">
        <v>990</v>
      </c>
      <c r="B397" s="4" t="str">
        <f t="shared" si="1"/>
        <v>DonorsTrust_State Policy Network201785000</v>
      </c>
      <c r="C397" s="4" t="str">
        <f ca="1">IFERROR(__xludf.DUMMYFUNCTION("ARRAY_CONSTRAIN(ARRAYFORMULA(SINGLE(TEXTJOIN(""_"",TRUE,D397,G397))), 1, 1)"),"DonorsTrust_2017")</f>
        <v>DonorsTrust_2017</v>
      </c>
      <c r="D397" s="4" t="s">
        <v>9</v>
      </c>
      <c r="E397" s="8" t="s">
        <v>46</v>
      </c>
      <c r="F397" s="6">
        <v>85000</v>
      </c>
      <c r="G397" s="4">
        <v>2017</v>
      </c>
      <c r="H397" s="4" t="s">
        <v>361</v>
      </c>
    </row>
    <row r="398" spans="1:8" ht="15.75" customHeight="1" x14ac:dyDescent="0.2">
      <c r="A398" s="4">
        <v>990</v>
      </c>
      <c r="B398" s="4" t="str">
        <f t="shared" si="1"/>
        <v>DonorsTrust_State Policy Network201720000</v>
      </c>
      <c r="C398" s="4" t="str">
        <f ca="1">IFERROR(__xludf.DUMMYFUNCTION("ARRAY_CONSTRAIN(ARRAYFORMULA(SINGLE(TEXTJOIN(""_"",TRUE,D398,G398))), 1, 1)"),"DonorsTrust_2017")</f>
        <v>DonorsTrust_2017</v>
      </c>
      <c r="D398" s="4" t="s">
        <v>9</v>
      </c>
      <c r="E398" s="8" t="s">
        <v>46</v>
      </c>
      <c r="F398" s="6">
        <v>20000</v>
      </c>
      <c r="G398" s="4">
        <v>2017</v>
      </c>
      <c r="H398" s="4" t="s">
        <v>361</v>
      </c>
    </row>
    <row r="399" spans="1:8" ht="15.75" customHeight="1" x14ac:dyDescent="0.2">
      <c r="A399" s="4">
        <v>990</v>
      </c>
      <c r="B399" s="4" t="str">
        <f t="shared" si="1"/>
        <v>DonorsTrust_State Policy Network2017700000</v>
      </c>
      <c r="C399" s="4" t="str">
        <f ca="1">IFERROR(__xludf.DUMMYFUNCTION("ARRAY_CONSTRAIN(ARRAYFORMULA(SINGLE(TEXTJOIN(""_"",TRUE,D399,G399))), 1, 1)"),"DonorsTrust_2017")</f>
        <v>DonorsTrust_2017</v>
      </c>
      <c r="D399" s="4" t="s">
        <v>9</v>
      </c>
      <c r="E399" s="8" t="s">
        <v>46</v>
      </c>
      <c r="F399" s="6">
        <v>700000</v>
      </c>
      <c r="G399" s="4">
        <v>2017</v>
      </c>
      <c r="H399" s="4" t="s">
        <v>361</v>
      </c>
    </row>
    <row r="400" spans="1:8" ht="15.75" customHeight="1" x14ac:dyDescent="0.2">
      <c r="A400" s="4">
        <v>990</v>
      </c>
      <c r="B400" s="4" t="str">
        <f t="shared" si="1"/>
        <v>DonorsTrust_State Policy Network201725000</v>
      </c>
      <c r="C400" s="4" t="str">
        <f ca="1">IFERROR(__xludf.DUMMYFUNCTION("ARRAY_CONSTRAIN(ARRAYFORMULA(SINGLE(TEXTJOIN(""_"",TRUE,D400,G400))), 1, 1)"),"DonorsTrust_2017")</f>
        <v>DonorsTrust_2017</v>
      </c>
      <c r="D400" s="4" t="s">
        <v>9</v>
      </c>
      <c r="E400" s="8" t="s">
        <v>46</v>
      </c>
      <c r="F400" s="6">
        <v>25000</v>
      </c>
      <c r="G400" s="4">
        <v>2017</v>
      </c>
      <c r="H400" s="4" t="s">
        <v>361</v>
      </c>
    </row>
    <row r="401" spans="1:8" ht="15.75" customHeight="1" x14ac:dyDescent="0.2">
      <c r="A401" s="4">
        <v>990</v>
      </c>
      <c r="B401" s="4" t="str">
        <f t="shared" si="1"/>
        <v>DonorsTrust_State Policy Network2017250</v>
      </c>
      <c r="C401" s="4" t="str">
        <f ca="1">IFERROR(__xludf.DUMMYFUNCTION("ARRAY_CONSTRAIN(ARRAYFORMULA(SINGLE(TEXTJOIN(""_"",TRUE,D401,G401))), 1, 1)"),"DonorsTrust_2017")</f>
        <v>DonorsTrust_2017</v>
      </c>
      <c r="D401" s="4" t="s">
        <v>9</v>
      </c>
      <c r="E401" s="8" t="s">
        <v>46</v>
      </c>
      <c r="F401" s="6">
        <v>250</v>
      </c>
      <c r="G401" s="4">
        <v>2017</v>
      </c>
      <c r="H401" s="4" t="s">
        <v>361</v>
      </c>
    </row>
    <row r="402" spans="1:8" ht="15.75" customHeight="1" x14ac:dyDescent="0.2">
      <c r="A402" s="4">
        <v>990</v>
      </c>
      <c r="B402" s="4" t="str">
        <f t="shared" si="1"/>
        <v>DonorsTrust_State Policy Network20171499500</v>
      </c>
      <c r="C402" s="4" t="str">
        <f ca="1">IFERROR(__xludf.DUMMYFUNCTION("ARRAY_CONSTRAIN(ARRAYFORMULA(SINGLE(TEXTJOIN(""_"",TRUE,D402,G402))), 1, 1)"),"DonorsTrust_2017")</f>
        <v>DonorsTrust_2017</v>
      </c>
      <c r="D402" s="4" t="s">
        <v>9</v>
      </c>
      <c r="E402" s="8" t="s">
        <v>46</v>
      </c>
      <c r="F402" s="6">
        <v>1499500</v>
      </c>
      <c r="G402" s="4">
        <v>2017</v>
      </c>
      <c r="H402" s="4" t="s">
        <v>361</v>
      </c>
    </row>
    <row r="403" spans="1:8" ht="15.75" customHeight="1" x14ac:dyDescent="0.2">
      <c r="A403" s="4">
        <v>990</v>
      </c>
      <c r="B403" s="4" t="str">
        <f t="shared" si="1"/>
        <v>DonorsTrust_State Policy Network20172000</v>
      </c>
      <c r="C403" s="4" t="str">
        <f ca="1">IFERROR(__xludf.DUMMYFUNCTION("ARRAY_CONSTRAIN(ARRAYFORMULA(SINGLE(TEXTJOIN(""_"",TRUE,D403,G403))), 1, 1)"),"DonorsTrust_2017")</f>
        <v>DonorsTrust_2017</v>
      </c>
      <c r="D403" s="4" t="s">
        <v>9</v>
      </c>
      <c r="E403" s="8" t="s">
        <v>46</v>
      </c>
      <c r="F403" s="6">
        <v>2000</v>
      </c>
      <c r="G403" s="4">
        <v>2017</v>
      </c>
      <c r="H403" s="4" t="s">
        <v>361</v>
      </c>
    </row>
    <row r="404" spans="1:8" ht="15.75" customHeight="1" x14ac:dyDescent="0.2">
      <c r="A404" s="4">
        <v>990</v>
      </c>
      <c r="B404" s="4" t="str">
        <f t="shared" si="1"/>
        <v>DonorsTrust_State Policy Network201740000</v>
      </c>
      <c r="C404" s="4" t="str">
        <f ca="1">IFERROR(__xludf.DUMMYFUNCTION("ARRAY_CONSTRAIN(ARRAYFORMULA(SINGLE(TEXTJOIN(""_"",TRUE,D404,G404))), 1, 1)"),"DonorsTrust_2017")</f>
        <v>DonorsTrust_2017</v>
      </c>
      <c r="D404" s="4" t="s">
        <v>9</v>
      </c>
      <c r="E404" s="8" t="s">
        <v>46</v>
      </c>
      <c r="F404" s="6">
        <v>40000</v>
      </c>
      <c r="G404" s="4">
        <v>2017</v>
      </c>
      <c r="H404" s="4" t="s">
        <v>361</v>
      </c>
    </row>
    <row r="405" spans="1:8" ht="15.75" customHeight="1" x14ac:dyDescent="0.2">
      <c r="A405" s="4">
        <v>990</v>
      </c>
      <c r="B405" s="4" t="str">
        <f t="shared" si="1"/>
        <v>DonorsTrust_State Policy Network20172500</v>
      </c>
      <c r="C405" s="4" t="str">
        <f ca="1">IFERROR(__xludf.DUMMYFUNCTION("ARRAY_CONSTRAIN(ARRAYFORMULA(SINGLE(TEXTJOIN(""_"",TRUE,D405,G405))), 1, 1)"),"DonorsTrust_2017")</f>
        <v>DonorsTrust_2017</v>
      </c>
      <c r="D405" s="4" t="s">
        <v>9</v>
      </c>
      <c r="E405" s="8" t="s">
        <v>46</v>
      </c>
      <c r="F405" s="6">
        <v>2500</v>
      </c>
      <c r="G405" s="4">
        <v>2017</v>
      </c>
      <c r="H405" s="4" t="s">
        <v>361</v>
      </c>
    </row>
    <row r="406" spans="1:8" ht="15.75" customHeight="1" x14ac:dyDescent="0.2">
      <c r="A406" s="4">
        <v>990</v>
      </c>
      <c r="B406" s="4" t="str">
        <f t="shared" si="1"/>
        <v>DonorsTrust_State Policy Network2017200</v>
      </c>
      <c r="C406" s="4" t="str">
        <f ca="1">IFERROR(__xludf.DUMMYFUNCTION("ARRAY_CONSTRAIN(ARRAYFORMULA(SINGLE(TEXTJOIN(""_"",TRUE,D406,G406))), 1, 1)"),"DonorsTrust_2017")</f>
        <v>DonorsTrust_2017</v>
      </c>
      <c r="D406" s="4" t="s">
        <v>9</v>
      </c>
      <c r="E406" s="8" t="s">
        <v>46</v>
      </c>
      <c r="F406" s="6">
        <v>200</v>
      </c>
      <c r="G406" s="4">
        <v>2017</v>
      </c>
      <c r="H406" s="4" t="s">
        <v>361</v>
      </c>
    </row>
    <row r="407" spans="1:8" ht="15.75" customHeight="1" x14ac:dyDescent="0.2">
      <c r="A407" s="4">
        <v>990</v>
      </c>
      <c r="B407" s="4" t="str">
        <f t="shared" si="1"/>
        <v>DonorsTrust_State Policy Network20171000</v>
      </c>
      <c r="C407" s="4" t="str">
        <f ca="1">IFERROR(__xludf.DUMMYFUNCTION("ARRAY_CONSTRAIN(ARRAYFORMULA(SINGLE(TEXTJOIN(""_"",TRUE,D407,G407))), 1, 1)"),"DonorsTrust_2017")</f>
        <v>DonorsTrust_2017</v>
      </c>
      <c r="D407" s="4" t="s">
        <v>9</v>
      </c>
      <c r="E407" s="8" t="s">
        <v>46</v>
      </c>
      <c r="F407" s="6">
        <v>1000</v>
      </c>
      <c r="G407" s="4">
        <v>2017</v>
      </c>
      <c r="H407" s="4" t="s">
        <v>361</v>
      </c>
    </row>
    <row r="408" spans="1:8" ht="15.75" customHeight="1" x14ac:dyDescent="0.2">
      <c r="A408" s="4">
        <v>990</v>
      </c>
      <c r="B408" s="4" t="str">
        <f t="shared" si="1"/>
        <v>DonorsTrust_State Policy Network20171428700</v>
      </c>
      <c r="C408" s="4" t="str">
        <f ca="1">IFERROR(__xludf.DUMMYFUNCTION("ARRAY_CONSTRAIN(ARRAYFORMULA(SINGLE(TEXTJOIN(""_"",TRUE,D408,G408))), 1, 1)"),"DonorsTrust_2017")</f>
        <v>DonorsTrust_2017</v>
      </c>
      <c r="D408" s="4" t="s">
        <v>9</v>
      </c>
      <c r="E408" s="8" t="s">
        <v>46</v>
      </c>
      <c r="F408" s="6">
        <v>1428700</v>
      </c>
      <c r="G408" s="4">
        <v>2017</v>
      </c>
      <c r="H408" s="4" t="s">
        <v>361</v>
      </c>
    </row>
    <row r="409" spans="1:8" ht="15.75" customHeight="1" x14ac:dyDescent="0.2">
      <c r="A409" s="4">
        <v>990</v>
      </c>
      <c r="B409" s="4" t="str">
        <f t="shared" si="1"/>
        <v>DonorsTrust_State Policy Network2017550500</v>
      </c>
      <c r="C409" s="4" t="str">
        <f ca="1">IFERROR(__xludf.DUMMYFUNCTION("ARRAY_CONSTRAIN(ARRAYFORMULA(SINGLE(TEXTJOIN(""_"",TRUE,D409,G409))), 1, 1)"),"DonorsTrust_2017")</f>
        <v>DonorsTrust_2017</v>
      </c>
      <c r="D409" s="4" t="s">
        <v>9</v>
      </c>
      <c r="E409" s="8" t="s">
        <v>46</v>
      </c>
      <c r="F409" s="6">
        <v>550500</v>
      </c>
      <c r="G409" s="4">
        <v>2017</v>
      </c>
      <c r="H409" s="4" t="s">
        <v>361</v>
      </c>
    </row>
    <row r="410" spans="1:8" ht="15.75" customHeight="1" x14ac:dyDescent="0.2">
      <c r="A410" s="4">
        <v>990</v>
      </c>
      <c r="B410" s="4" t="str">
        <f t="shared" si="1"/>
        <v>DonorsTrust_State Policy Network20161000</v>
      </c>
      <c r="C410" s="4" t="str">
        <f ca="1">IFERROR(__xludf.DUMMYFUNCTION("ARRAY_CONSTRAIN(ARRAYFORMULA(SINGLE(TEXTJOIN(""_"",TRUE,D410,G410))), 1, 1)"),"DonorsTrust_2016")</f>
        <v>DonorsTrust_2016</v>
      </c>
      <c r="D410" s="4" t="s">
        <v>9</v>
      </c>
      <c r="E410" s="8" t="s">
        <v>46</v>
      </c>
      <c r="F410" s="6">
        <v>1000</v>
      </c>
      <c r="G410" s="4">
        <v>2016</v>
      </c>
      <c r="H410" s="4" t="s">
        <v>361</v>
      </c>
    </row>
    <row r="411" spans="1:8" ht="15.75" customHeight="1" x14ac:dyDescent="0.2">
      <c r="A411" s="4">
        <v>990</v>
      </c>
      <c r="B411" s="4" t="str">
        <f t="shared" si="1"/>
        <v>DonorsTrust_State Policy Network20161000</v>
      </c>
      <c r="C411" s="4" t="str">
        <f ca="1">IFERROR(__xludf.DUMMYFUNCTION("ARRAY_CONSTRAIN(ARRAYFORMULA(SINGLE(TEXTJOIN(""_"",TRUE,D411,G411))), 1, 1)"),"DonorsTrust_2016")</f>
        <v>DonorsTrust_2016</v>
      </c>
      <c r="D411" s="4" t="s">
        <v>9</v>
      </c>
      <c r="E411" s="8" t="s">
        <v>46</v>
      </c>
      <c r="F411" s="6">
        <v>1000</v>
      </c>
      <c r="G411" s="4">
        <v>2016</v>
      </c>
      <c r="H411" s="4" t="s">
        <v>361</v>
      </c>
    </row>
    <row r="412" spans="1:8" ht="15.75" customHeight="1" x14ac:dyDescent="0.2">
      <c r="A412" s="4">
        <v>990</v>
      </c>
      <c r="B412" s="4" t="str">
        <f t="shared" si="1"/>
        <v>DonorsTrust_State Policy Network20162500</v>
      </c>
      <c r="C412" s="4" t="str">
        <f ca="1">IFERROR(__xludf.DUMMYFUNCTION("ARRAY_CONSTRAIN(ARRAYFORMULA(SINGLE(TEXTJOIN(""_"",TRUE,D412,G412))), 1, 1)"),"DonorsTrust_2016")</f>
        <v>DonorsTrust_2016</v>
      </c>
      <c r="D412" s="4" t="s">
        <v>9</v>
      </c>
      <c r="E412" s="8" t="s">
        <v>46</v>
      </c>
      <c r="F412" s="6">
        <v>2500</v>
      </c>
      <c r="G412" s="4">
        <v>2016</v>
      </c>
      <c r="H412" s="4" t="s">
        <v>361</v>
      </c>
    </row>
    <row r="413" spans="1:8" ht="15.75" customHeight="1" x14ac:dyDescent="0.2">
      <c r="A413" s="4">
        <v>990</v>
      </c>
      <c r="B413" s="4" t="str">
        <f t="shared" si="1"/>
        <v>DonorsTrust_State Policy Network201610000</v>
      </c>
      <c r="C413" s="4" t="str">
        <f ca="1">IFERROR(__xludf.DUMMYFUNCTION("ARRAY_CONSTRAIN(ARRAYFORMULA(SINGLE(TEXTJOIN(""_"",TRUE,D413,G413))), 1, 1)"),"DonorsTrust_2016")</f>
        <v>DonorsTrust_2016</v>
      </c>
      <c r="D413" s="4" t="s">
        <v>9</v>
      </c>
      <c r="E413" s="8" t="s">
        <v>46</v>
      </c>
      <c r="F413" s="6">
        <v>10000</v>
      </c>
      <c r="G413" s="4">
        <v>2016</v>
      </c>
      <c r="H413" s="4" t="s">
        <v>361</v>
      </c>
    </row>
    <row r="414" spans="1:8" ht="15.75" customHeight="1" x14ac:dyDescent="0.2">
      <c r="A414" s="4">
        <v>990</v>
      </c>
      <c r="B414" s="4" t="str">
        <f t="shared" si="1"/>
        <v>DonorsTrust_State Policy Network20161500</v>
      </c>
      <c r="C414" s="4" t="str">
        <f ca="1">IFERROR(__xludf.DUMMYFUNCTION("ARRAY_CONSTRAIN(ARRAYFORMULA(SINGLE(TEXTJOIN(""_"",TRUE,D414,G414))), 1, 1)"),"DonorsTrust_2016")</f>
        <v>DonorsTrust_2016</v>
      </c>
      <c r="D414" s="4" t="s">
        <v>9</v>
      </c>
      <c r="E414" s="8" t="s">
        <v>46</v>
      </c>
      <c r="F414" s="6">
        <v>1500</v>
      </c>
      <c r="G414" s="4">
        <v>2016</v>
      </c>
      <c r="H414" s="4" t="s">
        <v>361</v>
      </c>
    </row>
    <row r="415" spans="1:8" ht="15.75" customHeight="1" x14ac:dyDescent="0.2">
      <c r="A415" s="4">
        <v>990</v>
      </c>
      <c r="B415" s="4" t="str">
        <f t="shared" si="1"/>
        <v>DonorsTrust_State Policy Network20165000</v>
      </c>
      <c r="C415" s="4" t="str">
        <f ca="1">IFERROR(__xludf.DUMMYFUNCTION("ARRAY_CONSTRAIN(ARRAYFORMULA(SINGLE(TEXTJOIN(""_"",TRUE,D415,G415))), 1, 1)"),"DonorsTrust_2016")</f>
        <v>DonorsTrust_2016</v>
      </c>
      <c r="D415" s="4" t="s">
        <v>9</v>
      </c>
      <c r="E415" s="8" t="s">
        <v>46</v>
      </c>
      <c r="F415" s="6">
        <v>5000</v>
      </c>
      <c r="G415" s="4">
        <v>2016</v>
      </c>
      <c r="H415" s="4" t="s">
        <v>361</v>
      </c>
    </row>
    <row r="416" spans="1:8" ht="15.75" customHeight="1" x14ac:dyDescent="0.2">
      <c r="A416" s="4">
        <v>990</v>
      </c>
      <c r="B416" s="4" t="str">
        <f t="shared" si="1"/>
        <v>DonorsTrust_State Policy Network20168000</v>
      </c>
      <c r="C416" s="4" t="str">
        <f ca="1">IFERROR(__xludf.DUMMYFUNCTION("ARRAY_CONSTRAIN(ARRAYFORMULA(SINGLE(TEXTJOIN(""_"",TRUE,D416,G416))), 1, 1)"),"DonorsTrust_2016")</f>
        <v>DonorsTrust_2016</v>
      </c>
      <c r="D416" s="4" t="s">
        <v>9</v>
      </c>
      <c r="E416" s="8" t="s">
        <v>46</v>
      </c>
      <c r="F416" s="6">
        <v>8000</v>
      </c>
      <c r="G416" s="4">
        <v>2016</v>
      </c>
      <c r="H416" s="4" t="s">
        <v>361</v>
      </c>
    </row>
    <row r="417" spans="1:8" ht="15.75" customHeight="1" x14ac:dyDescent="0.2">
      <c r="A417" s="4">
        <v>990</v>
      </c>
      <c r="B417" s="4" t="str">
        <f t="shared" si="1"/>
        <v>DonorsTrust_State Policy Network201635000</v>
      </c>
      <c r="C417" s="4" t="str">
        <f ca="1">IFERROR(__xludf.DUMMYFUNCTION("ARRAY_CONSTRAIN(ARRAYFORMULA(SINGLE(TEXTJOIN(""_"",TRUE,D417,G417))), 1, 1)"),"DonorsTrust_2016")</f>
        <v>DonorsTrust_2016</v>
      </c>
      <c r="D417" s="4" t="s">
        <v>9</v>
      </c>
      <c r="E417" s="8" t="s">
        <v>46</v>
      </c>
      <c r="F417" s="6">
        <v>35000</v>
      </c>
      <c r="G417" s="4">
        <v>2016</v>
      </c>
      <c r="H417" s="4" t="s">
        <v>361</v>
      </c>
    </row>
    <row r="418" spans="1:8" ht="15.75" customHeight="1" x14ac:dyDescent="0.2">
      <c r="A418" s="4">
        <v>990</v>
      </c>
      <c r="B418" s="4" t="str">
        <f t="shared" si="1"/>
        <v>DonorsTrust_State Policy Network201520000</v>
      </c>
      <c r="C418" s="4" t="str">
        <f ca="1">IFERROR(__xludf.DUMMYFUNCTION("ARRAY_CONSTRAIN(ARRAYFORMULA(SINGLE(TEXTJOIN(""_"",TRUE,D418,G418))), 1, 1)"),"DonorsTrust_2015")</f>
        <v>DonorsTrust_2015</v>
      </c>
      <c r="D418" s="4" t="s">
        <v>9</v>
      </c>
      <c r="E418" s="8" t="s">
        <v>46</v>
      </c>
      <c r="F418" s="9">
        <v>20000</v>
      </c>
      <c r="G418" s="10">
        <v>2015</v>
      </c>
      <c r="H418" s="4" t="s">
        <v>361</v>
      </c>
    </row>
    <row r="419" spans="1:8" ht="15.75" customHeight="1" x14ac:dyDescent="0.2">
      <c r="A419" s="4">
        <v>990</v>
      </c>
      <c r="B419" s="4" t="str">
        <f t="shared" si="1"/>
        <v>DonorsTrust_State Policy Network2015291632.05</v>
      </c>
      <c r="C419" s="4" t="str">
        <f ca="1">IFERROR(__xludf.DUMMYFUNCTION("ARRAY_CONSTRAIN(ARRAYFORMULA(SINGLE(TEXTJOIN(""_"",TRUE,D419,G419))), 1, 1)"),"DonorsTrust_2015")</f>
        <v>DonorsTrust_2015</v>
      </c>
      <c r="D419" s="4" t="s">
        <v>9</v>
      </c>
      <c r="E419" s="8" t="s">
        <v>46</v>
      </c>
      <c r="F419" s="9">
        <v>291632.05</v>
      </c>
      <c r="G419" s="10">
        <v>2015</v>
      </c>
      <c r="H419" s="4" t="s">
        <v>361</v>
      </c>
    </row>
    <row r="420" spans="1:8" ht="15.75" customHeight="1" x14ac:dyDescent="0.2">
      <c r="A420" s="4">
        <v>990</v>
      </c>
      <c r="B420" s="4" t="str">
        <f t="shared" si="1"/>
        <v>DonorsTrust_State Policy Network20152500</v>
      </c>
      <c r="C420" s="4" t="str">
        <f ca="1">IFERROR(__xludf.DUMMYFUNCTION("ARRAY_CONSTRAIN(ARRAYFORMULA(SINGLE(TEXTJOIN(""_"",TRUE,D420,G420))), 1, 1)"),"DonorsTrust_2015")</f>
        <v>DonorsTrust_2015</v>
      </c>
      <c r="D420" s="4" t="s">
        <v>9</v>
      </c>
      <c r="E420" s="8" t="s">
        <v>46</v>
      </c>
      <c r="F420" s="9">
        <v>2500</v>
      </c>
      <c r="G420" s="10">
        <v>2015</v>
      </c>
      <c r="H420" s="4" t="s">
        <v>361</v>
      </c>
    </row>
    <row r="421" spans="1:8" ht="15.75" customHeight="1" x14ac:dyDescent="0.2">
      <c r="A421" s="4">
        <v>990</v>
      </c>
      <c r="B421" s="4" t="str">
        <f t="shared" si="1"/>
        <v>DonorsTrust_State Policy Network201525000</v>
      </c>
      <c r="C421" s="4" t="str">
        <f ca="1">IFERROR(__xludf.DUMMYFUNCTION("ARRAY_CONSTRAIN(ARRAYFORMULA(SINGLE(TEXTJOIN(""_"",TRUE,D421,G421))), 1, 1)"),"DonorsTrust_2015")</f>
        <v>DonorsTrust_2015</v>
      </c>
      <c r="D421" s="4" t="s">
        <v>9</v>
      </c>
      <c r="E421" s="8" t="s">
        <v>46</v>
      </c>
      <c r="F421" s="9">
        <v>25000</v>
      </c>
      <c r="G421" s="10">
        <v>2015</v>
      </c>
      <c r="H421" s="4" t="s">
        <v>361</v>
      </c>
    </row>
    <row r="422" spans="1:8" ht="15.75" customHeight="1" x14ac:dyDescent="0.2">
      <c r="A422" s="4">
        <v>990</v>
      </c>
      <c r="B422" s="4" t="str">
        <f t="shared" si="1"/>
        <v>DonorsTrust_State Policy Network20151250</v>
      </c>
      <c r="C422" s="4" t="str">
        <f ca="1">IFERROR(__xludf.DUMMYFUNCTION("ARRAY_CONSTRAIN(ARRAYFORMULA(SINGLE(TEXTJOIN(""_"",TRUE,D422,G422))), 1, 1)"),"DonorsTrust_2015")</f>
        <v>DonorsTrust_2015</v>
      </c>
      <c r="D422" s="4" t="s">
        <v>9</v>
      </c>
      <c r="E422" s="8" t="s">
        <v>46</v>
      </c>
      <c r="F422" s="9">
        <v>1250</v>
      </c>
      <c r="G422" s="10">
        <v>2015</v>
      </c>
      <c r="H422" s="4" t="s">
        <v>361</v>
      </c>
    </row>
    <row r="423" spans="1:8" ht="15.75" customHeight="1" x14ac:dyDescent="0.2">
      <c r="A423" s="4">
        <v>990</v>
      </c>
      <c r="B423" s="4" t="str">
        <f t="shared" si="1"/>
        <v>DonorsTrust_State Policy Network201510000</v>
      </c>
      <c r="C423" s="4" t="str">
        <f ca="1">IFERROR(__xludf.DUMMYFUNCTION("ARRAY_CONSTRAIN(ARRAYFORMULA(SINGLE(TEXTJOIN(""_"",TRUE,D423,G423))), 1, 1)"),"DonorsTrust_2015")</f>
        <v>DonorsTrust_2015</v>
      </c>
      <c r="D423" s="4" t="s">
        <v>9</v>
      </c>
      <c r="E423" s="8" t="s">
        <v>46</v>
      </c>
      <c r="F423" s="9">
        <v>10000</v>
      </c>
      <c r="G423" s="10">
        <v>2015</v>
      </c>
      <c r="H423" s="4" t="s">
        <v>361</v>
      </c>
    </row>
    <row r="424" spans="1:8" ht="15.75" customHeight="1" x14ac:dyDescent="0.2">
      <c r="A424" s="4">
        <v>990</v>
      </c>
      <c r="B424" s="4" t="str">
        <f t="shared" si="1"/>
        <v>DonorsTrust_State Policy Network20151000</v>
      </c>
      <c r="C424" s="4" t="str">
        <f ca="1">IFERROR(__xludf.DUMMYFUNCTION("ARRAY_CONSTRAIN(ARRAYFORMULA(SINGLE(TEXTJOIN(""_"",TRUE,D424,G424))), 1, 1)"),"DonorsTrust_2015")</f>
        <v>DonorsTrust_2015</v>
      </c>
      <c r="D424" s="4" t="s">
        <v>9</v>
      </c>
      <c r="E424" s="8" t="s">
        <v>46</v>
      </c>
      <c r="F424" s="9">
        <v>1000</v>
      </c>
      <c r="G424" s="10">
        <v>2015</v>
      </c>
      <c r="H424" s="4" t="s">
        <v>361</v>
      </c>
    </row>
    <row r="425" spans="1:8" ht="15.75" customHeight="1" x14ac:dyDescent="0.2">
      <c r="A425" s="4">
        <v>990</v>
      </c>
      <c r="B425" s="4" t="str">
        <f t="shared" si="1"/>
        <v>DonorsTrust_State Policy Network2015200</v>
      </c>
      <c r="C425" s="4" t="str">
        <f ca="1">IFERROR(__xludf.DUMMYFUNCTION("ARRAY_CONSTRAIN(ARRAYFORMULA(SINGLE(TEXTJOIN(""_"",TRUE,D425,G425))), 1, 1)"),"DonorsTrust_2015")</f>
        <v>DonorsTrust_2015</v>
      </c>
      <c r="D425" s="4" t="s">
        <v>9</v>
      </c>
      <c r="E425" s="8" t="s">
        <v>46</v>
      </c>
      <c r="F425" s="9">
        <v>200</v>
      </c>
      <c r="G425" s="10">
        <v>2015</v>
      </c>
      <c r="H425" s="4" t="s">
        <v>361</v>
      </c>
    </row>
    <row r="426" spans="1:8" ht="15.75" customHeight="1" x14ac:dyDescent="0.2">
      <c r="A426" s="4" t="s">
        <v>368</v>
      </c>
      <c r="B426" s="4" t="str">
        <f t="shared" si="1"/>
        <v>DonorsTrust_State Policy Network20141000</v>
      </c>
      <c r="C426" s="4" t="str">
        <f ca="1">IFERROR(__xludf.DUMMYFUNCTION("ARRAY_CONSTRAIN(ARRAYFORMULA(SINGLE(TEXTJOIN(""_"",TRUE,D426,G426))), 1, 1)"),"DonorsTrust_2014")</f>
        <v>DonorsTrust_2014</v>
      </c>
      <c r="D426" s="4" t="s">
        <v>9</v>
      </c>
      <c r="E426" s="8" t="s">
        <v>46</v>
      </c>
      <c r="F426" s="6">
        <v>1000</v>
      </c>
      <c r="G426" s="4">
        <v>2014</v>
      </c>
      <c r="H426" s="4" t="s">
        <v>359</v>
      </c>
    </row>
    <row r="427" spans="1:8" ht="15.75" customHeight="1" x14ac:dyDescent="0.2">
      <c r="A427" s="4" t="s">
        <v>368</v>
      </c>
      <c r="B427" s="4" t="str">
        <f t="shared" si="1"/>
        <v>DonorsTrust_State Policy Network201410000</v>
      </c>
      <c r="C427" s="4" t="str">
        <f ca="1">IFERROR(__xludf.DUMMYFUNCTION("ARRAY_CONSTRAIN(ARRAYFORMULA(SINGLE(TEXTJOIN(""_"",TRUE,D427,G427))), 1, 1)"),"DonorsTrust_2014")</f>
        <v>DonorsTrust_2014</v>
      </c>
      <c r="D427" s="4" t="s">
        <v>9</v>
      </c>
      <c r="E427" s="8" t="s">
        <v>46</v>
      </c>
      <c r="F427" s="6">
        <v>10000</v>
      </c>
      <c r="G427" s="4">
        <v>2014</v>
      </c>
      <c r="H427" s="4" t="s">
        <v>359</v>
      </c>
    </row>
    <row r="428" spans="1:8" ht="15.75" customHeight="1" x14ac:dyDescent="0.2">
      <c r="A428" s="4" t="s">
        <v>368</v>
      </c>
      <c r="B428" s="4" t="str">
        <f t="shared" si="1"/>
        <v>DonorsTrust_State Policy Network20142500</v>
      </c>
      <c r="C428" s="4" t="str">
        <f ca="1">IFERROR(__xludf.DUMMYFUNCTION("ARRAY_CONSTRAIN(ARRAYFORMULA(SINGLE(TEXTJOIN(""_"",TRUE,D428,G428))), 1, 1)"),"DonorsTrust_2014")</f>
        <v>DonorsTrust_2014</v>
      </c>
      <c r="D428" s="4" t="s">
        <v>9</v>
      </c>
      <c r="E428" s="8" t="s">
        <v>46</v>
      </c>
      <c r="F428" s="6">
        <v>2500</v>
      </c>
      <c r="G428" s="4">
        <v>2014</v>
      </c>
      <c r="H428" s="4" t="s">
        <v>359</v>
      </c>
    </row>
    <row r="429" spans="1:8" ht="15.75" customHeight="1" x14ac:dyDescent="0.2">
      <c r="A429" s="4" t="s">
        <v>368</v>
      </c>
      <c r="B429" s="4" t="str">
        <f t="shared" si="1"/>
        <v>DonorsTrust_State Policy Network2014200</v>
      </c>
      <c r="C429" s="4" t="str">
        <f ca="1">IFERROR(__xludf.DUMMYFUNCTION("ARRAY_CONSTRAIN(ARRAYFORMULA(SINGLE(TEXTJOIN(""_"",TRUE,D429,G429))), 1, 1)"),"DonorsTrust_2014")</f>
        <v>DonorsTrust_2014</v>
      </c>
      <c r="D429" s="4" t="s">
        <v>9</v>
      </c>
      <c r="E429" s="8" t="s">
        <v>46</v>
      </c>
      <c r="F429" s="6">
        <v>200</v>
      </c>
      <c r="G429" s="4">
        <v>2014</v>
      </c>
      <c r="H429" s="4" t="s">
        <v>359</v>
      </c>
    </row>
    <row r="430" spans="1:8" ht="15.75" customHeight="1" x14ac:dyDescent="0.2">
      <c r="A430" s="4" t="s">
        <v>368</v>
      </c>
      <c r="B430" s="4" t="str">
        <f t="shared" si="1"/>
        <v>DonorsTrust_State Policy Network20141250</v>
      </c>
      <c r="C430" s="4" t="str">
        <f ca="1">IFERROR(__xludf.DUMMYFUNCTION("ARRAY_CONSTRAIN(ARRAYFORMULA(SINGLE(TEXTJOIN(""_"",TRUE,D430,G430))), 1, 1)"),"DonorsTrust_2014")</f>
        <v>DonorsTrust_2014</v>
      </c>
      <c r="D430" s="4" t="s">
        <v>9</v>
      </c>
      <c r="E430" s="8" t="s">
        <v>46</v>
      </c>
      <c r="F430" s="6">
        <v>1250</v>
      </c>
      <c r="G430" s="4">
        <v>2014</v>
      </c>
      <c r="H430" s="4" t="s">
        <v>359</v>
      </c>
    </row>
    <row r="431" spans="1:8" ht="15.75" customHeight="1" x14ac:dyDescent="0.2">
      <c r="A431" s="4" t="s">
        <v>368</v>
      </c>
      <c r="B431" s="4" t="str">
        <f t="shared" si="1"/>
        <v>DonorsTrust_State Policy Network20142000</v>
      </c>
      <c r="C431" s="4" t="str">
        <f ca="1">IFERROR(__xludf.DUMMYFUNCTION("ARRAY_CONSTRAIN(ARRAYFORMULA(SINGLE(TEXTJOIN(""_"",TRUE,D431,G431))), 1, 1)"),"DonorsTrust_2014")</f>
        <v>DonorsTrust_2014</v>
      </c>
      <c r="D431" s="4" t="s">
        <v>9</v>
      </c>
      <c r="E431" s="8" t="s">
        <v>46</v>
      </c>
      <c r="F431" s="6">
        <v>2000</v>
      </c>
      <c r="G431" s="4">
        <v>2014</v>
      </c>
      <c r="H431" s="4" t="s">
        <v>359</v>
      </c>
    </row>
    <row r="432" spans="1:8" ht="15.75" customHeight="1" x14ac:dyDescent="0.2">
      <c r="A432" s="4" t="s">
        <v>368</v>
      </c>
      <c r="B432" s="4" t="str">
        <f t="shared" si="1"/>
        <v>DonorsTrust_State Policy Network20145000</v>
      </c>
      <c r="C432" s="4" t="str">
        <f ca="1">IFERROR(__xludf.DUMMYFUNCTION("ARRAY_CONSTRAIN(ARRAYFORMULA(SINGLE(TEXTJOIN(""_"",TRUE,D432,G432))), 1, 1)"),"DonorsTrust_2014")</f>
        <v>DonorsTrust_2014</v>
      </c>
      <c r="D432" s="4" t="s">
        <v>9</v>
      </c>
      <c r="E432" s="8" t="s">
        <v>46</v>
      </c>
      <c r="F432" s="6">
        <v>5000</v>
      </c>
      <c r="G432" s="4">
        <v>2014</v>
      </c>
      <c r="H432" s="4" t="s">
        <v>359</v>
      </c>
    </row>
    <row r="433" spans="1:8" ht="15.75" customHeight="1" x14ac:dyDescent="0.2">
      <c r="A433" s="4" t="s">
        <v>368</v>
      </c>
      <c r="B433" s="4" t="str">
        <f t="shared" si="1"/>
        <v>DonorsTrust_State Policy Network201435000</v>
      </c>
      <c r="C433" s="4" t="str">
        <f ca="1">IFERROR(__xludf.DUMMYFUNCTION("ARRAY_CONSTRAIN(ARRAYFORMULA(SINGLE(TEXTJOIN(""_"",TRUE,D433,G433))), 1, 1)"),"DonorsTrust_2014")</f>
        <v>DonorsTrust_2014</v>
      </c>
      <c r="D433" s="4" t="s">
        <v>9</v>
      </c>
      <c r="E433" s="8" t="s">
        <v>46</v>
      </c>
      <c r="F433" s="6">
        <v>35000</v>
      </c>
      <c r="G433" s="4">
        <v>2014</v>
      </c>
      <c r="H433" s="4" t="s">
        <v>359</v>
      </c>
    </row>
    <row r="434" spans="1:8" ht="15.75" customHeight="1" x14ac:dyDescent="0.2">
      <c r="A434" s="4" t="s">
        <v>368</v>
      </c>
      <c r="B434" s="4" t="str">
        <f t="shared" si="1"/>
        <v>DonorsTrust_State Policy Network2014437599.28</v>
      </c>
      <c r="C434" s="4" t="str">
        <f ca="1">IFERROR(__xludf.DUMMYFUNCTION("ARRAY_CONSTRAIN(ARRAYFORMULA(SINGLE(TEXTJOIN(""_"",TRUE,D434,G434))), 1, 1)"),"DonorsTrust_2014")</f>
        <v>DonorsTrust_2014</v>
      </c>
      <c r="D434" s="4" t="s">
        <v>9</v>
      </c>
      <c r="E434" s="8" t="s">
        <v>46</v>
      </c>
      <c r="F434" s="6">
        <v>437599.28</v>
      </c>
      <c r="G434" s="4">
        <v>2014</v>
      </c>
      <c r="H434" s="4" t="s">
        <v>359</v>
      </c>
    </row>
    <row r="435" spans="1:8" ht="15.75" customHeight="1" x14ac:dyDescent="0.2">
      <c r="A435" s="4" t="s">
        <v>368</v>
      </c>
      <c r="B435" s="4" t="str">
        <f t="shared" si="1"/>
        <v>DonorsTrust_State Policy Network20145000</v>
      </c>
      <c r="C435" s="4" t="str">
        <f ca="1">IFERROR(__xludf.DUMMYFUNCTION("ARRAY_CONSTRAIN(ARRAYFORMULA(SINGLE(TEXTJOIN(""_"",TRUE,D435,G435))), 1, 1)"),"DonorsTrust_2014")</f>
        <v>DonorsTrust_2014</v>
      </c>
      <c r="D435" s="4" t="s">
        <v>9</v>
      </c>
      <c r="E435" s="8" t="s">
        <v>46</v>
      </c>
      <c r="F435" s="6">
        <v>5000</v>
      </c>
      <c r="G435" s="4">
        <v>2014</v>
      </c>
      <c r="H435" s="4" t="s">
        <v>359</v>
      </c>
    </row>
    <row r="436" spans="1:8" ht="15.75" customHeight="1" x14ac:dyDescent="0.2">
      <c r="A436" s="4" t="s">
        <v>368</v>
      </c>
      <c r="B436" s="4" t="str">
        <f t="shared" si="1"/>
        <v>DonorsTrust_State Policy Network20145000</v>
      </c>
      <c r="C436" s="4" t="str">
        <f ca="1">IFERROR(__xludf.DUMMYFUNCTION("ARRAY_CONSTRAIN(ARRAYFORMULA(SINGLE(TEXTJOIN(""_"",TRUE,D436,G436))), 1, 1)"),"DonorsTrust_2014")</f>
        <v>DonorsTrust_2014</v>
      </c>
      <c r="D436" s="4" t="s">
        <v>9</v>
      </c>
      <c r="E436" s="8" t="s">
        <v>46</v>
      </c>
      <c r="F436" s="6">
        <v>5000</v>
      </c>
      <c r="G436" s="4">
        <v>2014</v>
      </c>
      <c r="H436" s="4" t="s">
        <v>359</v>
      </c>
    </row>
    <row r="437" spans="1:8" ht="15.75" customHeight="1" x14ac:dyDescent="0.2">
      <c r="A437" s="4" t="s">
        <v>368</v>
      </c>
      <c r="B437" s="4" t="str">
        <f t="shared" si="1"/>
        <v>DonorsTrust_State Policy Network20135000</v>
      </c>
      <c r="C437" s="4" t="str">
        <f ca="1">IFERROR(__xludf.DUMMYFUNCTION("ARRAY_CONSTRAIN(ARRAYFORMULA(SINGLE(TEXTJOIN(""_"",TRUE,D437,G437))), 1, 1)"),"DonorsTrust_2013")</f>
        <v>DonorsTrust_2013</v>
      </c>
      <c r="D437" s="4" t="s">
        <v>9</v>
      </c>
      <c r="E437" s="8" t="s">
        <v>46</v>
      </c>
      <c r="F437" s="6">
        <v>5000</v>
      </c>
      <c r="G437" s="4">
        <v>2013</v>
      </c>
      <c r="H437" s="4" t="s">
        <v>359</v>
      </c>
    </row>
    <row r="438" spans="1:8" ht="15.75" customHeight="1" x14ac:dyDescent="0.2">
      <c r="A438" s="4" t="s">
        <v>368</v>
      </c>
      <c r="B438" s="4" t="str">
        <f t="shared" si="1"/>
        <v>DonorsTrust_State Policy Network20132000</v>
      </c>
      <c r="C438" s="4" t="str">
        <f ca="1">IFERROR(__xludf.DUMMYFUNCTION("ARRAY_CONSTRAIN(ARRAYFORMULA(SINGLE(TEXTJOIN(""_"",TRUE,D438,G438))), 1, 1)"),"DonorsTrust_2013")</f>
        <v>DonorsTrust_2013</v>
      </c>
      <c r="D438" s="4" t="s">
        <v>9</v>
      </c>
      <c r="E438" s="8" t="s">
        <v>46</v>
      </c>
      <c r="F438" s="6">
        <v>2000</v>
      </c>
      <c r="G438" s="4">
        <v>2013</v>
      </c>
      <c r="H438" s="4" t="s">
        <v>359</v>
      </c>
    </row>
    <row r="439" spans="1:8" ht="15.75" customHeight="1" x14ac:dyDescent="0.2">
      <c r="A439" s="4" t="s">
        <v>368</v>
      </c>
      <c r="B439" s="4" t="str">
        <f t="shared" si="1"/>
        <v>DonorsTrust_State Policy Network20132500</v>
      </c>
      <c r="C439" s="4" t="str">
        <f ca="1">IFERROR(__xludf.DUMMYFUNCTION("ARRAY_CONSTRAIN(ARRAYFORMULA(SINGLE(TEXTJOIN(""_"",TRUE,D439,G439))), 1, 1)"),"DonorsTrust_2013")</f>
        <v>DonorsTrust_2013</v>
      </c>
      <c r="D439" s="4" t="s">
        <v>9</v>
      </c>
      <c r="E439" s="8" t="s">
        <v>46</v>
      </c>
      <c r="F439" s="6">
        <v>2500</v>
      </c>
      <c r="G439" s="4">
        <v>2013</v>
      </c>
      <c r="H439" s="4" t="s">
        <v>359</v>
      </c>
    </row>
    <row r="440" spans="1:8" ht="15.75" customHeight="1" x14ac:dyDescent="0.2">
      <c r="A440" s="4" t="s">
        <v>368</v>
      </c>
      <c r="B440" s="4" t="str">
        <f t="shared" si="1"/>
        <v>DonorsTrust_State Policy Network2013200</v>
      </c>
      <c r="C440" s="4" t="str">
        <f ca="1">IFERROR(__xludf.DUMMYFUNCTION("ARRAY_CONSTRAIN(ARRAYFORMULA(SINGLE(TEXTJOIN(""_"",TRUE,D440,G440))), 1, 1)"),"DonorsTrust_2013")</f>
        <v>DonorsTrust_2013</v>
      </c>
      <c r="D440" s="4" t="s">
        <v>9</v>
      </c>
      <c r="E440" s="8" t="s">
        <v>46</v>
      </c>
      <c r="F440" s="6">
        <v>200</v>
      </c>
      <c r="G440" s="4">
        <v>2013</v>
      </c>
      <c r="H440" s="4" t="s">
        <v>359</v>
      </c>
    </row>
    <row r="441" spans="1:8" ht="15.75" customHeight="1" x14ac:dyDescent="0.2">
      <c r="A441" s="4" t="s">
        <v>368</v>
      </c>
      <c r="B441" s="4" t="str">
        <f t="shared" si="1"/>
        <v>DonorsTrust_State Policy Network201310000</v>
      </c>
      <c r="C441" s="4" t="str">
        <f ca="1">IFERROR(__xludf.DUMMYFUNCTION("ARRAY_CONSTRAIN(ARRAYFORMULA(SINGLE(TEXTJOIN(""_"",TRUE,D441,G441))), 1, 1)"),"DonorsTrust_2013")</f>
        <v>DonorsTrust_2013</v>
      </c>
      <c r="D441" s="4" t="s">
        <v>9</v>
      </c>
      <c r="E441" s="8" t="s">
        <v>46</v>
      </c>
      <c r="F441" s="6">
        <v>10000</v>
      </c>
      <c r="G441" s="4">
        <v>2013</v>
      </c>
      <c r="H441" s="4" t="s">
        <v>359</v>
      </c>
    </row>
    <row r="442" spans="1:8" ht="15.75" customHeight="1" x14ac:dyDescent="0.2">
      <c r="A442" s="4" t="s">
        <v>368</v>
      </c>
      <c r="B442" s="4" t="str">
        <f t="shared" si="1"/>
        <v>DonorsTrust_State Policy Network201325000</v>
      </c>
      <c r="C442" s="4" t="str">
        <f ca="1">IFERROR(__xludf.DUMMYFUNCTION("ARRAY_CONSTRAIN(ARRAYFORMULA(SINGLE(TEXTJOIN(""_"",TRUE,D442,G442))), 1, 1)"),"DonorsTrust_2013")</f>
        <v>DonorsTrust_2013</v>
      </c>
      <c r="D442" s="4" t="s">
        <v>9</v>
      </c>
      <c r="E442" s="8" t="s">
        <v>46</v>
      </c>
      <c r="F442" s="6">
        <v>25000</v>
      </c>
      <c r="G442" s="4">
        <v>2013</v>
      </c>
      <c r="H442" s="4" t="s">
        <v>359</v>
      </c>
    </row>
    <row r="443" spans="1:8" ht="15.75" customHeight="1" x14ac:dyDescent="0.2">
      <c r="A443" s="4" t="s">
        <v>368</v>
      </c>
      <c r="B443" s="4" t="str">
        <f t="shared" si="1"/>
        <v>DonorsTrust_State Policy Network2013250000</v>
      </c>
      <c r="C443" s="4" t="str">
        <f ca="1">IFERROR(__xludf.DUMMYFUNCTION("ARRAY_CONSTRAIN(ARRAYFORMULA(SINGLE(TEXTJOIN(""_"",TRUE,D443,G443))), 1, 1)"),"DonorsTrust_2013")</f>
        <v>DonorsTrust_2013</v>
      </c>
      <c r="D443" s="4" t="s">
        <v>9</v>
      </c>
      <c r="E443" s="8" t="s">
        <v>46</v>
      </c>
      <c r="F443" s="6">
        <v>250000</v>
      </c>
      <c r="G443" s="4">
        <v>2013</v>
      </c>
      <c r="H443" s="4" t="s">
        <v>359</v>
      </c>
    </row>
    <row r="444" spans="1:8" ht="15.75" customHeight="1" x14ac:dyDescent="0.2">
      <c r="A444" s="4" t="s">
        <v>368</v>
      </c>
      <c r="B444" s="4" t="str">
        <f t="shared" si="1"/>
        <v>DonorsTrust_State Policy Network20131250</v>
      </c>
      <c r="C444" s="4" t="str">
        <f ca="1">IFERROR(__xludf.DUMMYFUNCTION("ARRAY_CONSTRAIN(ARRAYFORMULA(SINGLE(TEXTJOIN(""_"",TRUE,D444,G444))), 1, 1)"),"DonorsTrust_2013")</f>
        <v>DonorsTrust_2013</v>
      </c>
      <c r="D444" s="4" t="s">
        <v>9</v>
      </c>
      <c r="E444" s="8" t="s">
        <v>46</v>
      </c>
      <c r="F444" s="6">
        <v>1250</v>
      </c>
      <c r="G444" s="4">
        <v>2013</v>
      </c>
      <c r="H444" s="4" t="s">
        <v>359</v>
      </c>
    </row>
    <row r="445" spans="1:8" ht="15.75" customHeight="1" x14ac:dyDescent="0.2">
      <c r="A445" s="4" t="s">
        <v>368</v>
      </c>
      <c r="B445" s="4" t="str">
        <f t="shared" si="1"/>
        <v>DonorsTrust_State Policy Network2012100</v>
      </c>
      <c r="C445" s="4" t="str">
        <f ca="1">IFERROR(__xludf.DUMMYFUNCTION("ARRAY_CONSTRAIN(ARRAYFORMULA(SINGLE(TEXTJOIN(""_"",TRUE,D445,G445))), 1, 1)"),"DonorsTrust_2012")</f>
        <v>DonorsTrust_2012</v>
      </c>
      <c r="D445" s="4" t="s">
        <v>9</v>
      </c>
      <c r="E445" s="8" t="s">
        <v>46</v>
      </c>
      <c r="F445" s="6">
        <v>100</v>
      </c>
      <c r="G445" s="4">
        <v>2012</v>
      </c>
      <c r="H445" s="4" t="s">
        <v>359</v>
      </c>
    </row>
    <row r="446" spans="1:8" ht="15.75" customHeight="1" x14ac:dyDescent="0.2">
      <c r="A446" s="4" t="s">
        <v>368</v>
      </c>
      <c r="B446" s="4" t="str">
        <f t="shared" si="1"/>
        <v>DonorsTrust_State Policy Network2012200000</v>
      </c>
      <c r="C446" s="4" t="str">
        <f ca="1">IFERROR(__xludf.DUMMYFUNCTION("ARRAY_CONSTRAIN(ARRAYFORMULA(SINGLE(TEXTJOIN(""_"",TRUE,D446,G446))), 1, 1)"),"DonorsTrust_2012")</f>
        <v>DonorsTrust_2012</v>
      </c>
      <c r="D446" s="4" t="s">
        <v>9</v>
      </c>
      <c r="E446" s="8" t="s">
        <v>46</v>
      </c>
      <c r="F446" s="6">
        <v>200000</v>
      </c>
      <c r="G446" s="4">
        <v>2012</v>
      </c>
      <c r="H446" s="4" t="s">
        <v>359</v>
      </c>
    </row>
    <row r="447" spans="1:8" ht="15.75" customHeight="1" x14ac:dyDescent="0.2">
      <c r="A447" s="4" t="s">
        <v>368</v>
      </c>
      <c r="B447" s="4" t="str">
        <f t="shared" si="1"/>
        <v>DonorsTrust_State Policy Network2012600</v>
      </c>
      <c r="C447" s="4" t="str">
        <f ca="1">IFERROR(__xludf.DUMMYFUNCTION("ARRAY_CONSTRAIN(ARRAYFORMULA(SINGLE(TEXTJOIN(""_"",TRUE,D447,G447))), 1, 1)"),"DonorsTrust_2012")</f>
        <v>DonorsTrust_2012</v>
      </c>
      <c r="D447" s="4" t="s">
        <v>9</v>
      </c>
      <c r="E447" s="8" t="s">
        <v>46</v>
      </c>
      <c r="F447" s="6">
        <v>600</v>
      </c>
      <c r="G447" s="4">
        <v>2012</v>
      </c>
      <c r="H447" s="4" t="s">
        <v>359</v>
      </c>
    </row>
    <row r="448" spans="1:8" ht="15.75" customHeight="1" x14ac:dyDescent="0.2">
      <c r="A448" s="4" t="s">
        <v>368</v>
      </c>
      <c r="B448" s="4" t="str">
        <f t="shared" si="1"/>
        <v>DonorsTrust_State Policy Network20122000</v>
      </c>
      <c r="C448" s="4" t="str">
        <f ca="1">IFERROR(__xludf.DUMMYFUNCTION("ARRAY_CONSTRAIN(ARRAYFORMULA(SINGLE(TEXTJOIN(""_"",TRUE,D448,G448))), 1, 1)"),"DonorsTrust_2012")</f>
        <v>DonorsTrust_2012</v>
      </c>
      <c r="D448" s="4" t="s">
        <v>9</v>
      </c>
      <c r="E448" s="8" t="s">
        <v>46</v>
      </c>
      <c r="F448" s="6">
        <v>2000</v>
      </c>
      <c r="G448" s="4">
        <v>2012</v>
      </c>
      <c r="H448" s="4" t="s">
        <v>359</v>
      </c>
    </row>
    <row r="449" spans="1:8" ht="15.75" customHeight="1" x14ac:dyDescent="0.2">
      <c r="A449" s="4" t="s">
        <v>368</v>
      </c>
      <c r="B449" s="4" t="str">
        <f t="shared" si="1"/>
        <v>DonorsTrust_State Policy Network20121200</v>
      </c>
      <c r="C449" s="4" t="str">
        <f ca="1">IFERROR(__xludf.DUMMYFUNCTION("ARRAY_CONSTRAIN(ARRAYFORMULA(SINGLE(TEXTJOIN(""_"",TRUE,D449,G449))), 1, 1)"),"DonorsTrust_2012")</f>
        <v>DonorsTrust_2012</v>
      </c>
      <c r="D449" s="4" t="s">
        <v>9</v>
      </c>
      <c r="E449" s="8" t="s">
        <v>46</v>
      </c>
      <c r="F449" s="6">
        <v>1200</v>
      </c>
      <c r="G449" s="4">
        <v>2012</v>
      </c>
      <c r="H449" s="4" t="s">
        <v>359</v>
      </c>
    </row>
    <row r="450" spans="1:8" ht="15.75" customHeight="1" x14ac:dyDescent="0.2">
      <c r="A450" s="4" t="s">
        <v>368</v>
      </c>
      <c r="B450" s="4" t="str">
        <f t="shared" si="1"/>
        <v>DonorsTrust_State Policy Network20125000</v>
      </c>
      <c r="C450" s="4" t="str">
        <f ca="1">IFERROR(__xludf.DUMMYFUNCTION("ARRAY_CONSTRAIN(ARRAYFORMULA(SINGLE(TEXTJOIN(""_"",TRUE,D450,G450))), 1, 1)"),"DonorsTrust_2012")</f>
        <v>DonorsTrust_2012</v>
      </c>
      <c r="D450" s="4" t="s">
        <v>9</v>
      </c>
      <c r="E450" s="8" t="s">
        <v>46</v>
      </c>
      <c r="F450" s="6">
        <v>5000</v>
      </c>
      <c r="G450" s="4">
        <v>2012</v>
      </c>
      <c r="H450" s="4" t="s">
        <v>359</v>
      </c>
    </row>
    <row r="451" spans="1:8" ht="15.75" customHeight="1" x14ac:dyDescent="0.2">
      <c r="A451" s="4" t="s">
        <v>368</v>
      </c>
      <c r="B451" s="4" t="str">
        <f t="shared" si="1"/>
        <v>DonorsTrust_State Policy Network2012100000</v>
      </c>
      <c r="C451" s="4" t="str">
        <f ca="1">IFERROR(__xludf.DUMMYFUNCTION("ARRAY_CONSTRAIN(ARRAYFORMULA(SINGLE(TEXTJOIN(""_"",TRUE,D451,G451))), 1, 1)"),"DonorsTrust_2012")</f>
        <v>DonorsTrust_2012</v>
      </c>
      <c r="D451" s="4" t="s">
        <v>9</v>
      </c>
      <c r="E451" s="8" t="s">
        <v>46</v>
      </c>
      <c r="F451" s="6">
        <v>100000</v>
      </c>
      <c r="G451" s="4">
        <v>2012</v>
      </c>
      <c r="H451" s="4" t="s">
        <v>359</v>
      </c>
    </row>
    <row r="452" spans="1:8" ht="15.75" customHeight="1" x14ac:dyDescent="0.2">
      <c r="A452" s="4" t="s">
        <v>368</v>
      </c>
      <c r="B452" s="4" t="str">
        <f t="shared" si="1"/>
        <v>DonorsTrust_State Policy Network2012200</v>
      </c>
      <c r="C452" s="4" t="str">
        <f ca="1">IFERROR(__xludf.DUMMYFUNCTION("ARRAY_CONSTRAIN(ARRAYFORMULA(SINGLE(TEXTJOIN(""_"",TRUE,D452,G452))), 1, 1)"),"DonorsTrust_2012")</f>
        <v>DonorsTrust_2012</v>
      </c>
      <c r="D452" s="4" t="s">
        <v>9</v>
      </c>
      <c r="E452" s="8" t="s">
        <v>46</v>
      </c>
      <c r="F452" s="6">
        <v>200</v>
      </c>
      <c r="G452" s="4">
        <v>2012</v>
      </c>
      <c r="H452" s="4" t="s">
        <v>359</v>
      </c>
    </row>
    <row r="453" spans="1:8" ht="15.75" customHeight="1" x14ac:dyDescent="0.2">
      <c r="A453" s="4" t="s">
        <v>368</v>
      </c>
      <c r="B453" s="4" t="str">
        <f t="shared" si="1"/>
        <v>DonorsTrust_State Policy Network201224000</v>
      </c>
      <c r="C453" s="4" t="str">
        <f ca="1">IFERROR(__xludf.DUMMYFUNCTION("ARRAY_CONSTRAIN(ARRAYFORMULA(SINGLE(TEXTJOIN(""_"",TRUE,D453,G453))), 1, 1)"),"DonorsTrust_2012")</f>
        <v>DonorsTrust_2012</v>
      </c>
      <c r="D453" s="4" t="s">
        <v>9</v>
      </c>
      <c r="E453" s="8" t="s">
        <v>46</v>
      </c>
      <c r="F453" s="6">
        <v>24000</v>
      </c>
      <c r="G453" s="4">
        <v>2012</v>
      </c>
      <c r="H453" s="4" t="s">
        <v>359</v>
      </c>
    </row>
    <row r="454" spans="1:8" ht="15.75" customHeight="1" x14ac:dyDescent="0.2">
      <c r="A454" s="4" t="s">
        <v>368</v>
      </c>
      <c r="B454" s="4" t="str">
        <f t="shared" si="1"/>
        <v>DonorsTrust_State Policy Network20121000</v>
      </c>
      <c r="C454" s="4" t="str">
        <f ca="1">IFERROR(__xludf.DUMMYFUNCTION("ARRAY_CONSTRAIN(ARRAYFORMULA(SINGLE(TEXTJOIN(""_"",TRUE,D454,G454))), 1, 1)"),"DonorsTrust_2012")</f>
        <v>DonorsTrust_2012</v>
      </c>
      <c r="D454" s="4" t="s">
        <v>9</v>
      </c>
      <c r="E454" s="8" t="s">
        <v>46</v>
      </c>
      <c r="F454" s="6">
        <v>1000</v>
      </c>
      <c r="G454" s="4">
        <v>2012</v>
      </c>
      <c r="H454" s="4" t="s">
        <v>359</v>
      </c>
    </row>
    <row r="455" spans="1:8" ht="15.75" customHeight="1" x14ac:dyDescent="0.2">
      <c r="A455" s="4" t="s">
        <v>368</v>
      </c>
      <c r="B455" s="4" t="str">
        <f t="shared" si="1"/>
        <v>DonorsTrust_State Policy Network201225000</v>
      </c>
      <c r="C455" s="4" t="str">
        <f ca="1">IFERROR(__xludf.DUMMYFUNCTION("ARRAY_CONSTRAIN(ARRAYFORMULA(SINGLE(TEXTJOIN(""_"",TRUE,D455,G455))), 1, 1)"),"DonorsTrust_2012")</f>
        <v>DonorsTrust_2012</v>
      </c>
      <c r="D455" s="4" t="s">
        <v>9</v>
      </c>
      <c r="E455" s="8" t="s">
        <v>46</v>
      </c>
      <c r="F455" s="6">
        <v>25000</v>
      </c>
      <c r="G455" s="4">
        <v>2012</v>
      </c>
      <c r="H455" s="4" t="s">
        <v>359</v>
      </c>
    </row>
    <row r="456" spans="1:8" ht="15.75" customHeight="1" x14ac:dyDescent="0.2">
      <c r="A456" s="4" t="s">
        <v>368</v>
      </c>
      <c r="B456" s="4" t="str">
        <f t="shared" si="1"/>
        <v>DonorsTrust_State Policy Network20121000</v>
      </c>
      <c r="C456" s="4" t="str">
        <f ca="1">IFERROR(__xludf.DUMMYFUNCTION("ARRAY_CONSTRAIN(ARRAYFORMULA(SINGLE(TEXTJOIN(""_"",TRUE,D456,G456))), 1, 1)"),"DonorsTrust_2012")</f>
        <v>DonorsTrust_2012</v>
      </c>
      <c r="D456" s="4" t="s">
        <v>9</v>
      </c>
      <c r="E456" s="8" t="s">
        <v>46</v>
      </c>
      <c r="F456" s="6">
        <v>1000</v>
      </c>
      <c r="G456" s="4">
        <v>2012</v>
      </c>
      <c r="H456" s="4" t="s">
        <v>359</v>
      </c>
    </row>
    <row r="457" spans="1:8" ht="15.75" customHeight="1" x14ac:dyDescent="0.2">
      <c r="A457" s="4" t="s">
        <v>368</v>
      </c>
      <c r="B457" s="4" t="str">
        <f t="shared" si="1"/>
        <v>DonorsTrust_State Policy Network20121500</v>
      </c>
      <c r="C457" s="4" t="str">
        <f ca="1">IFERROR(__xludf.DUMMYFUNCTION("ARRAY_CONSTRAIN(ARRAYFORMULA(SINGLE(TEXTJOIN(""_"",TRUE,D457,G457))), 1, 1)"),"DonorsTrust_2012")</f>
        <v>DonorsTrust_2012</v>
      </c>
      <c r="D457" s="4" t="s">
        <v>9</v>
      </c>
      <c r="E457" s="8" t="s">
        <v>46</v>
      </c>
      <c r="F457" s="6">
        <v>1500</v>
      </c>
      <c r="G457" s="4">
        <v>2012</v>
      </c>
      <c r="H457" s="4" t="s">
        <v>359</v>
      </c>
    </row>
    <row r="458" spans="1:8" ht="15.75" customHeight="1" x14ac:dyDescent="0.2">
      <c r="A458" s="4" t="s">
        <v>368</v>
      </c>
      <c r="B458" s="4" t="str">
        <f t="shared" si="1"/>
        <v>DonorsTrust_State Policy Network2012450</v>
      </c>
      <c r="C458" s="4" t="str">
        <f ca="1">IFERROR(__xludf.DUMMYFUNCTION("ARRAY_CONSTRAIN(ARRAYFORMULA(SINGLE(TEXTJOIN(""_"",TRUE,D458,G458))), 1, 1)"),"DonorsTrust_2012")</f>
        <v>DonorsTrust_2012</v>
      </c>
      <c r="D458" s="4" t="s">
        <v>9</v>
      </c>
      <c r="E458" s="8" t="s">
        <v>46</v>
      </c>
      <c r="F458" s="6">
        <v>450</v>
      </c>
      <c r="G458" s="4">
        <v>2012</v>
      </c>
      <c r="H458" s="4" t="s">
        <v>359</v>
      </c>
    </row>
    <row r="459" spans="1:8" ht="15.75" customHeight="1" x14ac:dyDescent="0.2">
      <c r="A459" s="4" t="s">
        <v>368</v>
      </c>
      <c r="B459" s="4" t="str">
        <f t="shared" si="1"/>
        <v>DonorsTrust_State Policy Network20125000</v>
      </c>
      <c r="C459" s="4" t="str">
        <f ca="1">IFERROR(__xludf.DUMMYFUNCTION("ARRAY_CONSTRAIN(ARRAYFORMULA(SINGLE(TEXTJOIN(""_"",TRUE,D459,G459))), 1, 1)"),"DonorsTrust_2012")</f>
        <v>DonorsTrust_2012</v>
      </c>
      <c r="D459" s="4" t="s">
        <v>9</v>
      </c>
      <c r="E459" s="8" t="s">
        <v>46</v>
      </c>
      <c r="F459" s="6">
        <v>5000</v>
      </c>
      <c r="G459" s="4">
        <v>2012</v>
      </c>
      <c r="H459" s="4" t="s">
        <v>359</v>
      </c>
    </row>
    <row r="460" spans="1:8" ht="15.75" customHeight="1" x14ac:dyDescent="0.2">
      <c r="A460" s="4" t="s">
        <v>368</v>
      </c>
      <c r="B460" s="4" t="str">
        <f t="shared" si="1"/>
        <v>DonorsTrust_State Policy Network20121000</v>
      </c>
      <c r="C460" s="4" t="str">
        <f ca="1">IFERROR(__xludf.DUMMYFUNCTION("ARRAY_CONSTRAIN(ARRAYFORMULA(SINGLE(TEXTJOIN(""_"",TRUE,D460,G460))), 1, 1)"),"DonorsTrust_2012")</f>
        <v>DonorsTrust_2012</v>
      </c>
      <c r="D460" s="4" t="s">
        <v>9</v>
      </c>
      <c r="E460" s="8" t="s">
        <v>46</v>
      </c>
      <c r="F460" s="6">
        <v>1000</v>
      </c>
      <c r="G460" s="4">
        <v>2012</v>
      </c>
      <c r="H460" s="4" t="s">
        <v>359</v>
      </c>
    </row>
    <row r="461" spans="1:8" ht="15.75" customHeight="1" x14ac:dyDescent="0.2">
      <c r="A461" s="4" t="s">
        <v>368</v>
      </c>
      <c r="B461" s="4" t="str">
        <f t="shared" si="1"/>
        <v>DonorsTrust_State Policy Network2011500</v>
      </c>
      <c r="C461" s="4" t="str">
        <f ca="1">IFERROR(__xludf.DUMMYFUNCTION("ARRAY_CONSTRAIN(ARRAYFORMULA(SINGLE(TEXTJOIN(""_"",TRUE,D461,G461))), 1, 1)"),"DonorsTrust_2011")</f>
        <v>DonorsTrust_2011</v>
      </c>
      <c r="D461" s="4" t="s">
        <v>9</v>
      </c>
      <c r="E461" s="8" t="s">
        <v>46</v>
      </c>
      <c r="F461" s="6">
        <v>500</v>
      </c>
      <c r="G461" s="4">
        <v>2011</v>
      </c>
      <c r="H461" s="4" t="s">
        <v>359</v>
      </c>
    </row>
    <row r="462" spans="1:8" ht="15.75" customHeight="1" x14ac:dyDescent="0.2">
      <c r="A462" s="4" t="s">
        <v>368</v>
      </c>
      <c r="B462" s="4" t="str">
        <f t="shared" si="1"/>
        <v>DonorsTrust_State Policy Network2011100</v>
      </c>
      <c r="C462" s="4" t="str">
        <f ca="1">IFERROR(__xludf.DUMMYFUNCTION("ARRAY_CONSTRAIN(ARRAYFORMULA(SINGLE(TEXTJOIN(""_"",TRUE,D462,G462))), 1, 1)"),"DonorsTrust_2011")</f>
        <v>DonorsTrust_2011</v>
      </c>
      <c r="D462" s="4" t="s">
        <v>9</v>
      </c>
      <c r="E462" s="8" t="s">
        <v>46</v>
      </c>
      <c r="F462" s="6">
        <v>100</v>
      </c>
      <c r="G462" s="4">
        <v>2011</v>
      </c>
      <c r="H462" s="4" t="s">
        <v>359</v>
      </c>
    </row>
    <row r="463" spans="1:8" ht="15.75" customHeight="1" x14ac:dyDescent="0.2">
      <c r="A463" s="4" t="s">
        <v>368</v>
      </c>
      <c r="B463" s="4" t="str">
        <f t="shared" si="1"/>
        <v>DonorsTrust_State Policy Network20115000</v>
      </c>
      <c r="C463" s="4" t="str">
        <f ca="1">IFERROR(__xludf.DUMMYFUNCTION("ARRAY_CONSTRAIN(ARRAYFORMULA(SINGLE(TEXTJOIN(""_"",TRUE,D463,G463))), 1, 1)"),"DonorsTrust_2011")</f>
        <v>DonorsTrust_2011</v>
      </c>
      <c r="D463" s="4" t="s">
        <v>9</v>
      </c>
      <c r="E463" s="8" t="s">
        <v>46</v>
      </c>
      <c r="F463" s="6">
        <v>5000</v>
      </c>
      <c r="G463" s="4">
        <v>2011</v>
      </c>
      <c r="H463" s="4" t="s">
        <v>359</v>
      </c>
    </row>
    <row r="464" spans="1:8" ht="15.75" customHeight="1" x14ac:dyDescent="0.2">
      <c r="A464" s="4" t="s">
        <v>368</v>
      </c>
      <c r="B464" s="4" t="str">
        <f t="shared" si="1"/>
        <v>DonorsTrust_State Policy Network20112000</v>
      </c>
      <c r="C464" s="4" t="str">
        <f ca="1">IFERROR(__xludf.DUMMYFUNCTION("ARRAY_CONSTRAIN(ARRAYFORMULA(SINGLE(TEXTJOIN(""_"",TRUE,D464,G464))), 1, 1)"),"DonorsTrust_2011")</f>
        <v>DonorsTrust_2011</v>
      </c>
      <c r="D464" s="4" t="s">
        <v>9</v>
      </c>
      <c r="E464" s="8" t="s">
        <v>46</v>
      </c>
      <c r="F464" s="6">
        <v>2000</v>
      </c>
      <c r="G464" s="4">
        <v>2011</v>
      </c>
      <c r="H464" s="4" t="s">
        <v>359</v>
      </c>
    </row>
    <row r="465" spans="1:8" ht="15.75" customHeight="1" x14ac:dyDescent="0.2">
      <c r="A465" s="4" t="s">
        <v>368</v>
      </c>
      <c r="B465" s="4" t="str">
        <f t="shared" si="1"/>
        <v>DonorsTrust_State Policy Network20111000</v>
      </c>
      <c r="C465" s="4" t="str">
        <f ca="1">IFERROR(__xludf.DUMMYFUNCTION("ARRAY_CONSTRAIN(ARRAYFORMULA(SINGLE(TEXTJOIN(""_"",TRUE,D465,G465))), 1, 1)"),"DonorsTrust_2011")</f>
        <v>DonorsTrust_2011</v>
      </c>
      <c r="D465" s="4" t="s">
        <v>9</v>
      </c>
      <c r="E465" s="8" t="s">
        <v>46</v>
      </c>
      <c r="F465" s="6">
        <v>1000</v>
      </c>
      <c r="G465" s="4">
        <v>2011</v>
      </c>
      <c r="H465" s="4" t="s">
        <v>359</v>
      </c>
    </row>
    <row r="466" spans="1:8" ht="15.75" customHeight="1" x14ac:dyDescent="0.2">
      <c r="A466" s="4" t="s">
        <v>368</v>
      </c>
      <c r="B466" s="4" t="str">
        <f t="shared" si="1"/>
        <v>DonorsTrust_State Policy Network20112000</v>
      </c>
      <c r="C466" s="4" t="str">
        <f ca="1">IFERROR(__xludf.DUMMYFUNCTION("ARRAY_CONSTRAIN(ARRAYFORMULA(SINGLE(TEXTJOIN(""_"",TRUE,D466,G466))), 1, 1)"),"DonorsTrust_2011")</f>
        <v>DonorsTrust_2011</v>
      </c>
      <c r="D466" s="4" t="s">
        <v>9</v>
      </c>
      <c r="E466" s="8" t="s">
        <v>46</v>
      </c>
      <c r="F466" s="6">
        <v>2000</v>
      </c>
      <c r="G466" s="4">
        <v>2011</v>
      </c>
      <c r="H466" s="4" t="s">
        <v>359</v>
      </c>
    </row>
    <row r="467" spans="1:8" ht="15.75" customHeight="1" x14ac:dyDescent="0.2">
      <c r="A467" s="4" t="s">
        <v>368</v>
      </c>
      <c r="B467" s="4" t="str">
        <f t="shared" si="1"/>
        <v>DonorsTrust_State Policy Network201110000</v>
      </c>
      <c r="C467" s="4" t="str">
        <f ca="1">IFERROR(__xludf.DUMMYFUNCTION("ARRAY_CONSTRAIN(ARRAYFORMULA(SINGLE(TEXTJOIN(""_"",TRUE,D467,G467))), 1, 1)"),"DonorsTrust_2011")</f>
        <v>DonorsTrust_2011</v>
      </c>
      <c r="D467" s="4" t="s">
        <v>9</v>
      </c>
      <c r="E467" s="8" t="s">
        <v>46</v>
      </c>
      <c r="F467" s="6">
        <v>10000</v>
      </c>
      <c r="G467" s="4">
        <v>2011</v>
      </c>
      <c r="H467" s="4" t="s">
        <v>359</v>
      </c>
    </row>
    <row r="468" spans="1:8" ht="15.75" customHeight="1" x14ac:dyDescent="0.2">
      <c r="A468" s="4" t="s">
        <v>368</v>
      </c>
      <c r="B468" s="4" t="str">
        <f t="shared" si="1"/>
        <v>DonorsTrust_State Policy Network201190000</v>
      </c>
      <c r="C468" s="4" t="str">
        <f ca="1">IFERROR(__xludf.DUMMYFUNCTION("ARRAY_CONSTRAIN(ARRAYFORMULA(SINGLE(TEXTJOIN(""_"",TRUE,D468,G468))), 1, 1)"),"DonorsTrust_2011")</f>
        <v>DonorsTrust_2011</v>
      </c>
      <c r="D468" s="4" t="s">
        <v>9</v>
      </c>
      <c r="E468" s="8" t="s">
        <v>46</v>
      </c>
      <c r="F468" s="6">
        <v>90000</v>
      </c>
      <c r="G468" s="4">
        <v>2011</v>
      </c>
      <c r="H468" s="4" t="s">
        <v>359</v>
      </c>
    </row>
    <row r="469" spans="1:8" ht="15.75" customHeight="1" x14ac:dyDescent="0.2">
      <c r="A469" s="4" t="s">
        <v>368</v>
      </c>
      <c r="B469" s="4" t="str">
        <f t="shared" si="1"/>
        <v>DonorsTrust_State Policy Network2011100</v>
      </c>
      <c r="C469" s="4" t="str">
        <f ca="1">IFERROR(__xludf.DUMMYFUNCTION("ARRAY_CONSTRAIN(ARRAYFORMULA(SINGLE(TEXTJOIN(""_"",TRUE,D469,G469))), 1, 1)"),"DonorsTrust_2011")</f>
        <v>DonorsTrust_2011</v>
      </c>
      <c r="D469" s="4" t="s">
        <v>9</v>
      </c>
      <c r="E469" s="8" t="s">
        <v>46</v>
      </c>
      <c r="F469" s="6">
        <v>100</v>
      </c>
      <c r="G469" s="4">
        <v>2011</v>
      </c>
      <c r="H469" s="4" t="s">
        <v>359</v>
      </c>
    </row>
    <row r="470" spans="1:8" ht="15.75" customHeight="1" x14ac:dyDescent="0.2">
      <c r="A470" s="4" t="s">
        <v>368</v>
      </c>
      <c r="B470" s="4" t="str">
        <f t="shared" si="1"/>
        <v>DonorsTrust_State Policy Network20105000</v>
      </c>
      <c r="C470" s="4" t="str">
        <f ca="1">IFERROR(__xludf.DUMMYFUNCTION("ARRAY_CONSTRAIN(ARRAYFORMULA(SINGLE(TEXTJOIN(""_"",TRUE,D470,G470))), 1, 1)"),"DonorsTrust_2010")</f>
        <v>DonorsTrust_2010</v>
      </c>
      <c r="D470" s="4" t="s">
        <v>9</v>
      </c>
      <c r="E470" s="8" t="s">
        <v>46</v>
      </c>
      <c r="F470" s="6">
        <v>5000</v>
      </c>
      <c r="G470" s="4">
        <v>2010</v>
      </c>
      <c r="H470" s="4" t="s">
        <v>359</v>
      </c>
    </row>
    <row r="471" spans="1:8" ht="15.75" customHeight="1" x14ac:dyDescent="0.2">
      <c r="A471" s="4" t="s">
        <v>368</v>
      </c>
      <c r="B471" s="4" t="str">
        <f t="shared" si="1"/>
        <v>DonorsTrust_State Policy Network20102000</v>
      </c>
      <c r="C471" s="4" t="str">
        <f ca="1">IFERROR(__xludf.DUMMYFUNCTION("ARRAY_CONSTRAIN(ARRAYFORMULA(SINGLE(TEXTJOIN(""_"",TRUE,D471,G471))), 1, 1)"),"DonorsTrust_2010")</f>
        <v>DonorsTrust_2010</v>
      </c>
      <c r="D471" s="4" t="s">
        <v>9</v>
      </c>
      <c r="E471" s="8" t="s">
        <v>46</v>
      </c>
      <c r="F471" s="6">
        <v>2000</v>
      </c>
      <c r="G471" s="4">
        <v>2010</v>
      </c>
      <c r="H471" s="4" t="s">
        <v>359</v>
      </c>
    </row>
    <row r="472" spans="1:8" ht="15.75" customHeight="1" x14ac:dyDescent="0.2">
      <c r="A472" s="4" t="s">
        <v>368</v>
      </c>
      <c r="B472" s="4" t="str">
        <f t="shared" si="1"/>
        <v>DonorsTrust_State Policy Network20101000</v>
      </c>
      <c r="C472" s="4" t="str">
        <f ca="1">IFERROR(__xludf.DUMMYFUNCTION("ARRAY_CONSTRAIN(ARRAYFORMULA(SINGLE(TEXTJOIN(""_"",TRUE,D472,G472))), 1, 1)"),"DonorsTrust_2010")</f>
        <v>DonorsTrust_2010</v>
      </c>
      <c r="D472" s="4" t="s">
        <v>9</v>
      </c>
      <c r="E472" s="8" t="s">
        <v>46</v>
      </c>
      <c r="F472" s="6">
        <v>1000</v>
      </c>
      <c r="G472" s="4">
        <v>2010</v>
      </c>
      <c r="H472" s="4" t="s">
        <v>359</v>
      </c>
    </row>
    <row r="473" spans="1:8" ht="15.75" customHeight="1" x14ac:dyDescent="0.2">
      <c r="A473" s="4" t="s">
        <v>368</v>
      </c>
      <c r="B473" s="4" t="str">
        <f t="shared" si="1"/>
        <v>DonorsTrust_State Policy Network20101000</v>
      </c>
      <c r="C473" s="4" t="str">
        <f ca="1">IFERROR(__xludf.DUMMYFUNCTION("ARRAY_CONSTRAIN(ARRAYFORMULA(SINGLE(TEXTJOIN(""_"",TRUE,D473,G473))), 1, 1)"),"DonorsTrust_2010")</f>
        <v>DonorsTrust_2010</v>
      </c>
      <c r="D473" s="4" t="s">
        <v>9</v>
      </c>
      <c r="E473" s="8" t="s">
        <v>46</v>
      </c>
      <c r="F473" s="6">
        <v>1000</v>
      </c>
      <c r="G473" s="4">
        <v>2010</v>
      </c>
      <c r="H473" s="4" t="s">
        <v>359</v>
      </c>
    </row>
    <row r="474" spans="1:8" ht="15.75" customHeight="1" x14ac:dyDescent="0.2">
      <c r="A474" s="4" t="s">
        <v>368</v>
      </c>
      <c r="B474" s="4" t="str">
        <f t="shared" si="1"/>
        <v>DonorsTrust_State Policy Network2010500</v>
      </c>
      <c r="C474" s="4" t="str">
        <f ca="1">IFERROR(__xludf.DUMMYFUNCTION("ARRAY_CONSTRAIN(ARRAYFORMULA(SINGLE(TEXTJOIN(""_"",TRUE,D474,G474))), 1, 1)"),"DonorsTrust_2010")</f>
        <v>DonorsTrust_2010</v>
      </c>
      <c r="D474" s="4" t="s">
        <v>9</v>
      </c>
      <c r="E474" s="8" t="s">
        <v>46</v>
      </c>
      <c r="F474" s="6">
        <v>500</v>
      </c>
      <c r="G474" s="4">
        <v>2010</v>
      </c>
      <c r="H474" s="4" t="s">
        <v>359</v>
      </c>
    </row>
    <row r="475" spans="1:8" ht="15.75" customHeight="1" x14ac:dyDescent="0.2">
      <c r="A475" s="4" t="s">
        <v>368</v>
      </c>
      <c r="B475" s="4" t="str">
        <f t="shared" si="1"/>
        <v>DonorsTrust_State Policy Network2010100</v>
      </c>
      <c r="C475" s="4" t="str">
        <f ca="1">IFERROR(__xludf.DUMMYFUNCTION("ARRAY_CONSTRAIN(ARRAYFORMULA(SINGLE(TEXTJOIN(""_"",TRUE,D475,G475))), 1, 1)"),"DonorsTrust_2010")</f>
        <v>DonorsTrust_2010</v>
      </c>
      <c r="D475" s="4" t="s">
        <v>9</v>
      </c>
      <c r="E475" s="8" t="s">
        <v>46</v>
      </c>
      <c r="F475" s="6">
        <v>100</v>
      </c>
      <c r="G475" s="4">
        <v>2010</v>
      </c>
      <c r="H475" s="4" t="s">
        <v>359</v>
      </c>
    </row>
    <row r="476" spans="1:8" ht="15.75" customHeight="1" x14ac:dyDescent="0.2">
      <c r="A476" s="4" t="s">
        <v>368</v>
      </c>
      <c r="B476" s="4" t="str">
        <f t="shared" si="1"/>
        <v>DonorsTrust_State Policy Network201075000</v>
      </c>
      <c r="C476" s="4" t="str">
        <f ca="1">IFERROR(__xludf.DUMMYFUNCTION("ARRAY_CONSTRAIN(ARRAYFORMULA(SINGLE(TEXTJOIN(""_"",TRUE,D476,G476))), 1, 1)"),"DonorsTrust_2010")</f>
        <v>DonorsTrust_2010</v>
      </c>
      <c r="D476" s="4" t="s">
        <v>9</v>
      </c>
      <c r="E476" s="8" t="s">
        <v>46</v>
      </c>
      <c r="F476" s="6">
        <v>75000</v>
      </c>
      <c r="G476" s="4">
        <v>2010</v>
      </c>
      <c r="H476" s="4" t="s">
        <v>359</v>
      </c>
    </row>
    <row r="477" spans="1:8" ht="15.75" customHeight="1" x14ac:dyDescent="0.2">
      <c r="A477" s="4" t="s">
        <v>368</v>
      </c>
      <c r="B477" s="4" t="str">
        <f t="shared" si="1"/>
        <v>DonorsTrust_State Policy Network2010186500</v>
      </c>
      <c r="C477" s="4" t="str">
        <f ca="1">IFERROR(__xludf.DUMMYFUNCTION("ARRAY_CONSTRAIN(ARRAYFORMULA(SINGLE(TEXTJOIN(""_"",TRUE,D477,G477))), 1, 1)"),"DonorsTrust_2010")</f>
        <v>DonorsTrust_2010</v>
      </c>
      <c r="D477" s="4" t="s">
        <v>9</v>
      </c>
      <c r="E477" s="8" t="s">
        <v>46</v>
      </c>
      <c r="F477" s="6">
        <v>186500</v>
      </c>
      <c r="G477" s="4">
        <v>2010</v>
      </c>
      <c r="H477" s="4" t="s">
        <v>359</v>
      </c>
    </row>
    <row r="478" spans="1:8" ht="15.75" customHeight="1" x14ac:dyDescent="0.2">
      <c r="A478" s="4" t="s">
        <v>368</v>
      </c>
      <c r="B478" s="4" t="str">
        <f t="shared" si="1"/>
        <v>DonorsTrust_State Policy Network2010255000</v>
      </c>
      <c r="C478" s="4" t="str">
        <f ca="1">IFERROR(__xludf.DUMMYFUNCTION("ARRAY_CONSTRAIN(ARRAYFORMULA(SINGLE(TEXTJOIN(""_"",TRUE,D478,G478))), 1, 1)"),"DonorsTrust_2010")</f>
        <v>DonorsTrust_2010</v>
      </c>
      <c r="D478" s="4" t="s">
        <v>9</v>
      </c>
      <c r="E478" s="8" t="s">
        <v>46</v>
      </c>
      <c r="F478" s="6">
        <v>255000</v>
      </c>
      <c r="G478" s="4">
        <v>2010</v>
      </c>
      <c r="H478" s="4" t="s">
        <v>359</v>
      </c>
    </row>
    <row r="479" spans="1:8" ht="15.75" customHeight="1" x14ac:dyDescent="0.2">
      <c r="A479" s="4" t="s">
        <v>368</v>
      </c>
      <c r="B479" s="4" t="str">
        <f t="shared" si="1"/>
        <v>DonorsTrust_State Policy Network2009200</v>
      </c>
      <c r="C479" s="4" t="str">
        <f ca="1">IFERROR(__xludf.DUMMYFUNCTION("ARRAY_CONSTRAIN(ARRAYFORMULA(SINGLE(TEXTJOIN(""_"",TRUE,D479,G479))), 1, 1)"),"DonorsTrust_2009")</f>
        <v>DonorsTrust_2009</v>
      </c>
      <c r="D479" s="4" t="s">
        <v>9</v>
      </c>
      <c r="E479" s="8" t="s">
        <v>46</v>
      </c>
      <c r="F479" s="6">
        <v>200</v>
      </c>
      <c r="G479" s="4">
        <v>2009</v>
      </c>
      <c r="H479" s="4" t="s">
        <v>359</v>
      </c>
    </row>
    <row r="480" spans="1:8" ht="15.75" customHeight="1" x14ac:dyDescent="0.2">
      <c r="A480" s="4" t="s">
        <v>368</v>
      </c>
      <c r="B480" s="4" t="str">
        <f t="shared" si="1"/>
        <v>DonorsTrust_State Policy Network2009500</v>
      </c>
      <c r="C480" s="4" t="str">
        <f ca="1">IFERROR(__xludf.DUMMYFUNCTION("ARRAY_CONSTRAIN(ARRAYFORMULA(SINGLE(TEXTJOIN(""_"",TRUE,D480,G480))), 1, 1)"),"DonorsTrust_2009")</f>
        <v>DonorsTrust_2009</v>
      </c>
      <c r="D480" s="4" t="s">
        <v>9</v>
      </c>
      <c r="E480" s="8" t="s">
        <v>46</v>
      </c>
      <c r="F480" s="6">
        <v>500</v>
      </c>
      <c r="G480" s="4">
        <v>2009</v>
      </c>
      <c r="H480" s="4" t="s">
        <v>359</v>
      </c>
    </row>
    <row r="481" spans="1:8" ht="15.75" customHeight="1" x14ac:dyDescent="0.2">
      <c r="A481" s="4" t="s">
        <v>368</v>
      </c>
      <c r="B481" s="4" t="str">
        <f t="shared" si="1"/>
        <v>DonorsTrust_State Policy Network20091000</v>
      </c>
      <c r="C481" s="4" t="str">
        <f ca="1">IFERROR(__xludf.DUMMYFUNCTION("ARRAY_CONSTRAIN(ARRAYFORMULA(SINGLE(TEXTJOIN(""_"",TRUE,D481,G481))), 1, 1)"),"DonorsTrust_2009")</f>
        <v>DonorsTrust_2009</v>
      </c>
      <c r="D481" s="4" t="s">
        <v>9</v>
      </c>
      <c r="E481" s="8" t="s">
        <v>46</v>
      </c>
      <c r="F481" s="6">
        <v>1000</v>
      </c>
      <c r="G481" s="4">
        <v>2009</v>
      </c>
      <c r="H481" s="4" t="s">
        <v>359</v>
      </c>
    </row>
    <row r="482" spans="1:8" ht="15.75" customHeight="1" x14ac:dyDescent="0.2">
      <c r="A482" s="4" t="s">
        <v>368</v>
      </c>
      <c r="B482" s="4" t="str">
        <f t="shared" si="1"/>
        <v>DonorsTrust_State Policy Network20091000</v>
      </c>
      <c r="C482" s="4" t="str">
        <f ca="1">IFERROR(__xludf.DUMMYFUNCTION("ARRAY_CONSTRAIN(ARRAYFORMULA(SINGLE(TEXTJOIN(""_"",TRUE,D482,G482))), 1, 1)"),"DonorsTrust_2009")</f>
        <v>DonorsTrust_2009</v>
      </c>
      <c r="D482" s="4" t="s">
        <v>9</v>
      </c>
      <c r="E482" s="8" t="s">
        <v>46</v>
      </c>
      <c r="F482" s="6">
        <v>1000</v>
      </c>
      <c r="G482" s="4">
        <v>2009</v>
      </c>
      <c r="H482" s="4" t="s">
        <v>359</v>
      </c>
    </row>
    <row r="483" spans="1:8" ht="15.75" customHeight="1" x14ac:dyDescent="0.2">
      <c r="A483" s="4" t="s">
        <v>368</v>
      </c>
      <c r="B483" s="4" t="str">
        <f t="shared" si="1"/>
        <v>DonorsTrust_State Policy Network20092000</v>
      </c>
      <c r="C483" s="4" t="str">
        <f ca="1">IFERROR(__xludf.DUMMYFUNCTION("ARRAY_CONSTRAIN(ARRAYFORMULA(SINGLE(TEXTJOIN(""_"",TRUE,D483,G483))), 1, 1)"),"DonorsTrust_2009")</f>
        <v>DonorsTrust_2009</v>
      </c>
      <c r="D483" s="4" t="s">
        <v>9</v>
      </c>
      <c r="E483" s="8" t="s">
        <v>46</v>
      </c>
      <c r="F483" s="6">
        <v>2000</v>
      </c>
      <c r="G483" s="4">
        <v>2009</v>
      </c>
      <c r="H483" s="4" t="s">
        <v>359</v>
      </c>
    </row>
    <row r="484" spans="1:8" ht="15.75" customHeight="1" x14ac:dyDescent="0.2">
      <c r="A484" s="4" t="s">
        <v>368</v>
      </c>
      <c r="B484" s="4" t="str">
        <f t="shared" si="1"/>
        <v>DonorsTrust_State Policy Network200910000</v>
      </c>
      <c r="C484" s="4" t="str">
        <f ca="1">IFERROR(__xludf.DUMMYFUNCTION("ARRAY_CONSTRAIN(ARRAYFORMULA(SINGLE(TEXTJOIN(""_"",TRUE,D484,G484))), 1, 1)"),"DonorsTrust_2009")</f>
        <v>DonorsTrust_2009</v>
      </c>
      <c r="D484" s="4" t="s">
        <v>9</v>
      </c>
      <c r="E484" s="8" t="s">
        <v>46</v>
      </c>
      <c r="F484" s="6">
        <v>10000</v>
      </c>
      <c r="G484" s="4">
        <v>2009</v>
      </c>
      <c r="H484" s="4" t="s">
        <v>359</v>
      </c>
    </row>
    <row r="485" spans="1:8" ht="15.75" customHeight="1" x14ac:dyDescent="0.2">
      <c r="A485" s="4" t="s">
        <v>368</v>
      </c>
      <c r="B485" s="4" t="str">
        <f t="shared" si="1"/>
        <v>DonorsTrust_State Policy Network2008500</v>
      </c>
      <c r="C485" s="4" t="str">
        <f ca="1">IFERROR(__xludf.DUMMYFUNCTION("ARRAY_CONSTRAIN(ARRAYFORMULA(SINGLE(TEXTJOIN(""_"",TRUE,D485,G485))), 1, 1)"),"DonorsTrust_2008")</f>
        <v>DonorsTrust_2008</v>
      </c>
      <c r="D485" s="4" t="s">
        <v>9</v>
      </c>
      <c r="E485" s="8" t="s">
        <v>46</v>
      </c>
      <c r="F485" s="6">
        <v>500</v>
      </c>
      <c r="G485" s="4">
        <v>2008</v>
      </c>
      <c r="H485" s="4" t="s">
        <v>359</v>
      </c>
    </row>
    <row r="486" spans="1:8" ht="15.75" customHeight="1" x14ac:dyDescent="0.2">
      <c r="A486" s="4" t="s">
        <v>368</v>
      </c>
      <c r="B486" s="4" t="str">
        <f t="shared" si="1"/>
        <v>DonorsTrust_State Policy Network20073000</v>
      </c>
      <c r="C486" s="4" t="str">
        <f ca="1">IFERROR(__xludf.DUMMYFUNCTION("ARRAY_CONSTRAIN(ARRAYFORMULA(SINGLE(TEXTJOIN(""_"",TRUE,D486,G486))), 1, 1)"),"DonorsTrust_2007")</f>
        <v>DonorsTrust_2007</v>
      </c>
      <c r="D486" s="4" t="s">
        <v>9</v>
      </c>
      <c r="E486" s="8" t="s">
        <v>46</v>
      </c>
      <c r="F486" s="6">
        <v>3000</v>
      </c>
      <c r="G486" s="4">
        <v>2007</v>
      </c>
      <c r="H486" s="4" t="s">
        <v>359</v>
      </c>
    </row>
    <row r="487" spans="1:8" ht="15.75" customHeight="1" x14ac:dyDescent="0.2">
      <c r="A487" s="4" t="s">
        <v>368</v>
      </c>
      <c r="B487" s="4" t="str">
        <f t="shared" si="1"/>
        <v>DonorsTrust_State Policy Network200610200</v>
      </c>
      <c r="C487" s="4" t="str">
        <f ca="1">IFERROR(__xludf.DUMMYFUNCTION("ARRAY_CONSTRAIN(ARRAYFORMULA(SINGLE(TEXTJOIN(""_"",TRUE,D487,G487))), 1, 1)"),"DonorsTrust_2006")</f>
        <v>DonorsTrust_2006</v>
      </c>
      <c r="D487" s="4" t="s">
        <v>9</v>
      </c>
      <c r="E487" s="8" t="s">
        <v>46</v>
      </c>
      <c r="F487" s="6">
        <v>10200</v>
      </c>
      <c r="G487" s="4">
        <v>2006</v>
      </c>
      <c r="H487" s="4" t="s">
        <v>359</v>
      </c>
    </row>
    <row r="488" spans="1:8" ht="15.75" customHeight="1" x14ac:dyDescent="0.2">
      <c r="A488" s="4" t="s">
        <v>368</v>
      </c>
      <c r="B488" s="4" t="str">
        <f t="shared" si="1"/>
        <v>DonorsTrust_State Policy Network20052500</v>
      </c>
      <c r="C488" s="4" t="str">
        <f ca="1">IFERROR(__xludf.DUMMYFUNCTION("ARRAY_CONSTRAIN(ARRAYFORMULA(SINGLE(TEXTJOIN(""_"",TRUE,D488,G488))), 1, 1)"),"DonorsTrust_2005")</f>
        <v>DonorsTrust_2005</v>
      </c>
      <c r="D488" s="4" t="s">
        <v>9</v>
      </c>
      <c r="E488" s="8" t="s">
        <v>46</v>
      </c>
      <c r="F488" s="6">
        <v>2500</v>
      </c>
      <c r="G488" s="4">
        <v>2005</v>
      </c>
      <c r="H488" s="4" t="s">
        <v>359</v>
      </c>
    </row>
    <row r="489" spans="1:8" ht="15.75" customHeight="1" x14ac:dyDescent="0.2">
      <c r="A489" s="4" t="s">
        <v>368</v>
      </c>
      <c r="B489" s="4" t="str">
        <f t="shared" si="1"/>
        <v>DonorsTrust_State Policy Network20041750</v>
      </c>
      <c r="C489" s="4" t="str">
        <f ca="1">IFERROR(__xludf.DUMMYFUNCTION("ARRAY_CONSTRAIN(ARRAYFORMULA(SINGLE(TEXTJOIN(""_"",TRUE,D489,G489))), 1, 1)"),"DonorsTrust_2004")</f>
        <v>DonorsTrust_2004</v>
      </c>
      <c r="D489" s="4" t="s">
        <v>9</v>
      </c>
      <c r="E489" s="8" t="s">
        <v>46</v>
      </c>
      <c r="F489" s="6">
        <v>1750</v>
      </c>
      <c r="G489" s="4">
        <v>2004</v>
      </c>
      <c r="H489" s="4" t="s">
        <v>359</v>
      </c>
    </row>
    <row r="490" spans="1:8" ht="15.75" customHeight="1" x14ac:dyDescent="0.2">
      <c r="A490" s="4" t="s">
        <v>368</v>
      </c>
      <c r="B490" s="4" t="str">
        <f t="shared" si="1"/>
        <v>DonorsTrust_State Policy Network20021500</v>
      </c>
      <c r="C490" s="4" t="str">
        <f ca="1">IFERROR(__xludf.DUMMYFUNCTION("ARRAY_CONSTRAIN(ARRAYFORMULA(SINGLE(TEXTJOIN(""_"",TRUE,D490,G490))), 1, 1)"),"DonorsTrust_2002")</f>
        <v>DonorsTrust_2002</v>
      </c>
      <c r="D490" s="4" t="s">
        <v>9</v>
      </c>
      <c r="E490" s="8" t="s">
        <v>46</v>
      </c>
      <c r="F490" s="6">
        <v>1500</v>
      </c>
      <c r="G490" s="4">
        <v>2002</v>
      </c>
      <c r="H490" s="4" t="s">
        <v>359</v>
      </c>
    </row>
    <row r="491" spans="1:8" ht="15.75" customHeight="1" x14ac:dyDescent="0.2">
      <c r="A491" s="4" t="s">
        <v>455</v>
      </c>
      <c r="B491" s="4" t="str">
        <f t="shared" si="1"/>
        <v>Donovan Family Foundation_State Policy Network20225000</v>
      </c>
      <c r="C491" s="4" t="str">
        <f ca="1">IFERROR(__xludf.DUMMYFUNCTION("ARRAY_CONSTRAIN(ARRAYFORMULA(SINGLE(TEXTJOIN(""_"",TRUE,D491,G491))), 1, 1)"),"Donovan Family Foundation_2022")</f>
        <v>Donovan Family Foundation_2022</v>
      </c>
      <c r="D491" s="4" t="s">
        <v>93</v>
      </c>
      <c r="E491" s="8" t="s">
        <v>46</v>
      </c>
      <c r="F491" s="6">
        <v>5000</v>
      </c>
      <c r="G491" s="4">
        <v>2022</v>
      </c>
      <c r="H491" s="4" t="s">
        <v>361</v>
      </c>
    </row>
    <row r="492" spans="1:8" ht="15.75" customHeight="1" x14ac:dyDescent="0.2">
      <c r="A492" s="4" t="s">
        <v>456</v>
      </c>
      <c r="B492" s="4" t="str">
        <f t="shared" si="1"/>
        <v>Donovan Family Foundation_State Policy Network202110000</v>
      </c>
      <c r="C492" s="4" t="str">
        <f ca="1">IFERROR(__xludf.DUMMYFUNCTION("ARRAY_CONSTRAIN(ARRAYFORMULA(SINGLE(TEXTJOIN(""_"",TRUE,D492,G492))), 1, 1)"),"Donovan Family Foundation_2021")</f>
        <v>Donovan Family Foundation_2021</v>
      </c>
      <c r="D492" s="4" t="s">
        <v>93</v>
      </c>
      <c r="E492" s="8" t="s">
        <v>46</v>
      </c>
      <c r="F492" s="6">
        <v>10000</v>
      </c>
      <c r="G492" s="4">
        <v>2021</v>
      </c>
      <c r="H492" s="4" t="s">
        <v>361</v>
      </c>
    </row>
    <row r="493" spans="1:8" ht="15.75" customHeight="1" x14ac:dyDescent="0.2">
      <c r="A493" s="4" t="s">
        <v>457</v>
      </c>
      <c r="B493" s="4" t="str">
        <f t="shared" si="1"/>
        <v>Donovan Family Foundation_State Policy Network20205000</v>
      </c>
      <c r="C493" s="4" t="str">
        <f ca="1">IFERROR(__xludf.DUMMYFUNCTION("ARRAY_CONSTRAIN(ARRAYFORMULA(SINGLE(TEXTJOIN(""_"",TRUE,D493,G493))), 1, 1)"),"Donovan Family Foundation_2020")</f>
        <v>Donovan Family Foundation_2020</v>
      </c>
      <c r="D493" s="4" t="s">
        <v>93</v>
      </c>
      <c r="E493" s="8" t="s">
        <v>46</v>
      </c>
      <c r="F493" s="6">
        <v>5000</v>
      </c>
      <c r="G493" s="4">
        <v>2020</v>
      </c>
      <c r="H493" s="4" t="s">
        <v>361</v>
      </c>
    </row>
    <row r="494" spans="1:8" ht="15.75" customHeight="1" x14ac:dyDescent="0.2">
      <c r="A494" s="4" t="s">
        <v>458</v>
      </c>
      <c r="B494" s="4" t="str">
        <f t="shared" si="1"/>
        <v>Donovan Family Foundation_State Policy Network20185000</v>
      </c>
      <c r="C494" s="4" t="str">
        <f ca="1">IFERROR(__xludf.DUMMYFUNCTION("ARRAY_CONSTRAIN(ARRAYFORMULA(SINGLE(TEXTJOIN(""_"",TRUE,D494,G494))), 1, 1)"),"Donovan Family Foundation_2018")</f>
        <v>Donovan Family Foundation_2018</v>
      </c>
      <c r="D494" s="4" t="s">
        <v>93</v>
      </c>
      <c r="E494" s="8" t="s">
        <v>46</v>
      </c>
      <c r="F494" s="6">
        <v>5000</v>
      </c>
      <c r="G494" s="4">
        <v>2018</v>
      </c>
      <c r="H494" s="4" t="s">
        <v>361</v>
      </c>
    </row>
    <row r="495" spans="1:8" ht="15.75" customHeight="1" x14ac:dyDescent="0.2">
      <c r="A495" s="4">
        <v>990</v>
      </c>
      <c r="B495" s="4" t="str">
        <f t="shared" si="1"/>
        <v>Dunn's Foundation for Advancement of Right Thinking_State Policy Network2021100000</v>
      </c>
      <c r="C495" s="4" t="str">
        <f ca="1">IFERROR(__xludf.DUMMYFUNCTION("ARRAY_CONSTRAIN(ARRAYFORMULA(SINGLE(TEXTJOIN(""_"",TRUE,D495,G495))), 1, 1)"),"Dunn's Foundation for Advancement of Right Thinking_2021")</f>
        <v>Dunn's Foundation for Advancement of Right Thinking_2021</v>
      </c>
      <c r="D495" s="4" t="s">
        <v>29</v>
      </c>
      <c r="E495" s="8" t="s">
        <v>46</v>
      </c>
      <c r="F495" s="6">
        <v>100000</v>
      </c>
      <c r="G495" s="4">
        <v>2021</v>
      </c>
      <c r="H495" s="4" t="s">
        <v>361</v>
      </c>
    </row>
    <row r="496" spans="1:8" ht="15.75" customHeight="1" x14ac:dyDescent="0.2">
      <c r="A496" s="4">
        <v>990</v>
      </c>
      <c r="B496" s="4" t="str">
        <f t="shared" si="1"/>
        <v>Dunn's Foundation for Advancement of Right Thinking_State Policy Network202050000</v>
      </c>
      <c r="C496" s="4" t="str">
        <f ca="1">IFERROR(__xludf.DUMMYFUNCTION("ARRAY_CONSTRAIN(ARRAYFORMULA(SINGLE(TEXTJOIN(""_"",TRUE,D496,G496))), 1, 1)"),"Dunn's Foundation for Advancement of Right Thinking_2020")</f>
        <v>Dunn's Foundation for Advancement of Right Thinking_2020</v>
      </c>
      <c r="D496" s="4" t="s">
        <v>29</v>
      </c>
      <c r="E496" s="8" t="s">
        <v>46</v>
      </c>
      <c r="F496" s="6">
        <v>50000</v>
      </c>
      <c r="G496" s="4">
        <v>2020</v>
      </c>
      <c r="H496" s="4" t="s">
        <v>361</v>
      </c>
    </row>
    <row r="497" spans="1:8" ht="15.75" customHeight="1" x14ac:dyDescent="0.2">
      <c r="A497" s="4">
        <v>990</v>
      </c>
      <c r="B497" s="4" t="str">
        <f t="shared" si="1"/>
        <v>Dunn's Foundation for Advancement of Right Thinking_State Policy Network201950000</v>
      </c>
      <c r="C497" s="4" t="str">
        <f ca="1">IFERROR(__xludf.DUMMYFUNCTION("ARRAY_CONSTRAIN(ARRAYFORMULA(SINGLE(TEXTJOIN(""_"",TRUE,D497,G497))), 1, 1)"),"Dunn's Foundation for Advancement of Right Thinking_2019")</f>
        <v>Dunn's Foundation for Advancement of Right Thinking_2019</v>
      </c>
      <c r="D497" s="4" t="s">
        <v>29</v>
      </c>
      <c r="E497" s="8" t="s">
        <v>46</v>
      </c>
      <c r="F497" s="6">
        <v>50000</v>
      </c>
      <c r="G497" s="4">
        <v>2019</v>
      </c>
      <c r="H497" s="4" t="s">
        <v>361</v>
      </c>
    </row>
    <row r="498" spans="1:8" ht="15.75" customHeight="1" x14ac:dyDescent="0.2">
      <c r="A498" s="4">
        <v>990</v>
      </c>
      <c r="B498" s="4" t="str">
        <f t="shared" si="1"/>
        <v>Dunn's Foundation for Advancement of Right Thinking_State Policy Network201840000</v>
      </c>
      <c r="C498" s="4" t="str">
        <f ca="1">IFERROR(__xludf.DUMMYFUNCTION("ARRAY_CONSTRAIN(ARRAYFORMULA(SINGLE(TEXTJOIN(""_"",TRUE,D498,G498))), 1, 1)"),"Dunn's Foundation for Advancement of Right Thinking_2018")</f>
        <v>Dunn's Foundation for Advancement of Right Thinking_2018</v>
      </c>
      <c r="D498" s="4" t="s">
        <v>29</v>
      </c>
      <c r="E498" s="8" t="s">
        <v>46</v>
      </c>
      <c r="F498" s="6">
        <v>40000</v>
      </c>
      <c r="G498" s="4">
        <v>2018</v>
      </c>
      <c r="H498" s="4" t="s">
        <v>361</v>
      </c>
    </row>
    <row r="499" spans="1:8" ht="15.75" customHeight="1" x14ac:dyDescent="0.2">
      <c r="A499" s="4">
        <v>990</v>
      </c>
      <c r="B499" s="4" t="str">
        <f t="shared" si="1"/>
        <v>Dunn's Foundation for Advancement of Right Thinking_State Policy Network201625000</v>
      </c>
      <c r="C499" s="4" t="str">
        <f ca="1">IFERROR(__xludf.DUMMYFUNCTION("ARRAY_CONSTRAIN(ARRAYFORMULA(SINGLE(TEXTJOIN(""_"",TRUE,D499,G499))), 1, 1)"),"Dunn's Foundation for Advancement of Right Thinking_2016")</f>
        <v>Dunn's Foundation for Advancement of Right Thinking_2016</v>
      </c>
      <c r="D499" s="4" t="s">
        <v>29</v>
      </c>
      <c r="E499" s="8" t="s">
        <v>46</v>
      </c>
      <c r="F499" s="6">
        <v>25000</v>
      </c>
      <c r="G499" s="4">
        <v>2016</v>
      </c>
      <c r="H499" s="4" t="s">
        <v>361</v>
      </c>
    </row>
    <row r="500" spans="1:8" ht="15.75" customHeight="1" x14ac:dyDescent="0.2">
      <c r="A500" s="4" t="s">
        <v>369</v>
      </c>
      <c r="B500" s="4" t="str">
        <f t="shared" si="1"/>
        <v>Dunn's Foundation for Advancement of Right Thinking_State Policy Network2012100000</v>
      </c>
      <c r="C500" s="4" t="str">
        <f ca="1">IFERROR(__xludf.DUMMYFUNCTION("ARRAY_CONSTRAIN(ARRAYFORMULA(SINGLE(TEXTJOIN(""_"",TRUE,D500,G500))), 1, 1)"),"Dunn's Foundation for Advancement of Right Thinking_2012")</f>
        <v>Dunn's Foundation for Advancement of Right Thinking_2012</v>
      </c>
      <c r="D500" s="4" t="s">
        <v>29</v>
      </c>
      <c r="E500" s="8" t="s">
        <v>46</v>
      </c>
      <c r="F500" s="6">
        <v>100000</v>
      </c>
      <c r="G500" s="4">
        <v>2012</v>
      </c>
      <c r="H500" s="4" t="s">
        <v>359</v>
      </c>
    </row>
    <row r="501" spans="1:8" ht="15.75" customHeight="1" x14ac:dyDescent="0.2">
      <c r="A501" s="4" t="s">
        <v>369</v>
      </c>
      <c r="B501" s="4" t="str">
        <f t="shared" si="1"/>
        <v>Dunn's Foundation for Advancement of Right Thinking_State Policy Network20101000</v>
      </c>
      <c r="C501" s="4" t="str">
        <f ca="1">IFERROR(__xludf.DUMMYFUNCTION("ARRAY_CONSTRAIN(ARRAYFORMULA(SINGLE(TEXTJOIN(""_"",TRUE,D501,G501))), 1, 1)"),"Dunn's Foundation for Advancement of Right Thinking_2010")</f>
        <v>Dunn's Foundation for Advancement of Right Thinking_2010</v>
      </c>
      <c r="D501" s="4" t="s">
        <v>29</v>
      </c>
      <c r="E501" s="8" t="s">
        <v>46</v>
      </c>
      <c r="F501" s="6">
        <v>1000</v>
      </c>
      <c r="G501" s="4">
        <v>2010</v>
      </c>
      <c r="H501" s="4" t="s">
        <v>359</v>
      </c>
    </row>
    <row r="502" spans="1:8" ht="15.75" customHeight="1" x14ac:dyDescent="0.2">
      <c r="A502" s="4" t="s">
        <v>459</v>
      </c>
      <c r="B502" s="4" t="str">
        <f t="shared" si="1"/>
        <v>Dupage Community Foundation_State Policy Network202035000</v>
      </c>
      <c r="C502" s="4" t="str">
        <f ca="1">IFERROR(__xludf.DUMMYFUNCTION("ARRAY_CONSTRAIN(ARRAYFORMULA(SINGLE(TEXTJOIN(""_"",TRUE,D502,G502))), 1, 1)"),"Dupage Community Foundation_2020")</f>
        <v>Dupage Community Foundation_2020</v>
      </c>
      <c r="D502" s="4" t="s">
        <v>48</v>
      </c>
      <c r="E502" s="8" t="s">
        <v>46</v>
      </c>
      <c r="F502" s="6">
        <v>35000</v>
      </c>
      <c r="G502" s="4">
        <v>2020</v>
      </c>
      <c r="H502" s="4" t="s">
        <v>361</v>
      </c>
    </row>
    <row r="503" spans="1:8" ht="15.75" customHeight="1" x14ac:dyDescent="0.2">
      <c r="A503" s="4" t="s">
        <v>460</v>
      </c>
      <c r="B503" s="4" t="str">
        <f t="shared" si="1"/>
        <v>Dupage Community Foundation_State Policy Network201960000</v>
      </c>
      <c r="C503" s="4" t="str">
        <f ca="1">IFERROR(__xludf.DUMMYFUNCTION("ARRAY_CONSTRAIN(ARRAYFORMULA(SINGLE(TEXTJOIN(""_"",TRUE,D503,G503))), 1, 1)"),"Dupage Community Foundation_2019")</f>
        <v>Dupage Community Foundation_2019</v>
      </c>
      <c r="D503" s="4" t="s">
        <v>48</v>
      </c>
      <c r="E503" s="8" t="s">
        <v>46</v>
      </c>
      <c r="F503" s="6">
        <v>60000</v>
      </c>
      <c r="G503" s="4">
        <v>2019</v>
      </c>
      <c r="H503" s="4" t="s">
        <v>361</v>
      </c>
    </row>
    <row r="504" spans="1:8" ht="15.75" customHeight="1" x14ac:dyDescent="0.2">
      <c r="A504" s="4" t="s">
        <v>461</v>
      </c>
      <c r="B504" s="4" t="str">
        <f t="shared" si="1"/>
        <v>Dupage Community Foundation_State Policy Network201715000</v>
      </c>
      <c r="C504" s="4" t="str">
        <f ca="1">IFERROR(__xludf.DUMMYFUNCTION("ARRAY_CONSTRAIN(ARRAYFORMULA(SINGLE(TEXTJOIN(""_"",TRUE,D504,G504))), 1, 1)"),"Dupage Community Foundation_2017")</f>
        <v>Dupage Community Foundation_2017</v>
      </c>
      <c r="D504" s="4" t="s">
        <v>48</v>
      </c>
      <c r="E504" s="8" t="s">
        <v>46</v>
      </c>
      <c r="F504" s="6">
        <v>15000</v>
      </c>
      <c r="G504" s="4">
        <v>2017</v>
      </c>
      <c r="H504" s="4" t="s">
        <v>361</v>
      </c>
    </row>
    <row r="505" spans="1:8" ht="15.75" customHeight="1" x14ac:dyDescent="0.2">
      <c r="A505" s="4">
        <v>990</v>
      </c>
      <c r="B505" s="4" t="str">
        <f t="shared" si="1"/>
        <v>E L Craig Foundation_State Policy Network20045000</v>
      </c>
      <c r="C505" s="4" t="str">
        <f ca="1">IFERROR(__xludf.DUMMYFUNCTION("ARRAY_CONSTRAIN(ARRAYFORMULA(SINGLE(TEXTJOIN(""_"",TRUE,D505,G505))), 1, 1)"),"E L Craig Foundation_2004")</f>
        <v>E L Craig Foundation_2004</v>
      </c>
      <c r="D505" s="4" t="s">
        <v>154</v>
      </c>
      <c r="E505" s="8" t="s">
        <v>46</v>
      </c>
      <c r="F505" s="6">
        <v>5000</v>
      </c>
      <c r="G505" s="4">
        <v>2004</v>
      </c>
      <c r="H505" s="4" t="s">
        <v>361</v>
      </c>
    </row>
    <row r="506" spans="1:8" ht="15.75" customHeight="1" x14ac:dyDescent="0.2">
      <c r="A506" s="4" t="s">
        <v>462</v>
      </c>
      <c r="B506" s="4" t="str">
        <f t="shared" si="1"/>
        <v>Earl W and Hildagunda A Brinkman Private Charitable Foundation_State Policy Network2022500</v>
      </c>
      <c r="C506" s="4" t="str">
        <f ca="1">IFERROR(__xludf.DUMMYFUNCTION("ARRAY_CONSTRAIN(ARRAYFORMULA(SINGLE(TEXTJOIN(""_"",TRUE,D506,G506))), 1, 1)"),"Earl W and Hildagunda A Brinkman Private Charitable Foundation_2022")</f>
        <v>Earl W and Hildagunda A Brinkman Private Charitable Foundation_2022</v>
      </c>
      <c r="D506" s="4" t="s">
        <v>202</v>
      </c>
      <c r="E506" s="8" t="s">
        <v>46</v>
      </c>
      <c r="F506" s="6">
        <v>500</v>
      </c>
      <c r="G506" s="4">
        <v>2022</v>
      </c>
      <c r="H506" s="4" t="s">
        <v>361</v>
      </c>
    </row>
    <row r="507" spans="1:8" ht="15.75" customHeight="1" x14ac:dyDescent="0.2">
      <c r="A507" s="4">
        <v>990</v>
      </c>
      <c r="B507" s="4" t="str">
        <f t="shared" si="1"/>
        <v>Ed Foundation_State Policy Network200850000</v>
      </c>
      <c r="C507" s="4" t="str">
        <f ca="1">IFERROR(__xludf.DUMMYFUNCTION("ARRAY_CONSTRAIN(ARRAYFORMULA(SINGLE(TEXTJOIN(""_"",TRUE,D507,G507))), 1, 1)"),"Ed Foundation_2008")</f>
        <v>Ed Foundation_2008</v>
      </c>
      <c r="D507" s="4" t="s">
        <v>72</v>
      </c>
      <c r="E507" s="8" t="s">
        <v>46</v>
      </c>
      <c r="F507" s="6">
        <v>50000</v>
      </c>
      <c r="G507" s="4">
        <v>2008</v>
      </c>
      <c r="H507" s="4" t="s">
        <v>361</v>
      </c>
    </row>
    <row r="508" spans="1:8" ht="15.75" customHeight="1" x14ac:dyDescent="0.2">
      <c r="A508" s="4">
        <v>990</v>
      </c>
      <c r="B508" s="4" t="str">
        <f t="shared" si="1"/>
        <v>Ed Uihlein Family Foundation_State Policy Network201525000</v>
      </c>
      <c r="C508" s="4" t="str">
        <f ca="1">IFERROR(__xludf.DUMMYFUNCTION("ARRAY_CONSTRAIN(ARRAYFORMULA(SINGLE(TEXTJOIN(""_"",TRUE,D508,G508))), 1, 1)"),"Ed Uihlein Family Foundation_2015")</f>
        <v>Ed Uihlein Family Foundation_2015</v>
      </c>
      <c r="D508" s="4" t="s">
        <v>92</v>
      </c>
      <c r="E508" s="8" t="s">
        <v>46</v>
      </c>
      <c r="F508" s="6">
        <v>25000</v>
      </c>
      <c r="G508" s="4">
        <v>2015</v>
      </c>
      <c r="H508" s="4" t="s">
        <v>361</v>
      </c>
    </row>
    <row r="509" spans="1:8" ht="15.75" customHeight="1" x14ac:dyDescent="0.2">
      <c r="A509" s="4">
        <v>990</v>
      </c>
      <c r="B509" s="4" t="str">
        <f t="shared" si="1"/>
        <v>Edison Electric Institute_State Policy Network201815000</v>
      </c>
      <c r="C509" s="4" t="str">
        <f ca="1">IFERROR(__xludf.DUMMYFUNCTION("ARRAY_CONSTRAIN(ARRAYFORMULA(SINGLE(TEXTJOIN(""_"",TRUE,D509,G509))), 1, 1)"),"Edison Electric Institute_2018")</f>
        <v>Edison Electric Institute_2018</v>
      </c>
      <c r="D509" s="4" t="s">
        <v>81</v>
      </c>
      <c r="E509" s="8" t="s">
        <v>46</v>
      </c>
      <c r="F509" s="6">
        <v>15000</v>
      </c>
      <c r="G509" s="4">
        <v>2018</v>
      </c>
      <c r="H509" s="4" t="s">
        <v>361</v>
      </c>
    </row>
    <row r="510" spans="1:8" ht="15.75" customHeight="1" x14ac:dyDescent="0.2">
      <c r="A510" s="4">
        <v>990</v>
      </c>
      <c r="B510" s="4" t="str">
        <f t="shared" si="1"/>
        <v>Edison Electric Institute_State Policy Network201615000</v>
      </c>
      <c r="C510" s="4" t="str">
        <f ca="1">IFERROR(__xludf.DUMMYFUNCTION("ARRAY_CONSTRAIN(ARRAYFORMULA(SINGLE(TEXTJOIN(""_"",TRUE,D510,G510))), 1, 1)"),"Edison Electric Institute_2016")</f>
        <v>Edison Electric Institute_2016</v>
      </c>
      <c r="D510" s="4" t="s">
        <v>81</v>
      </c>
      <c r="E510" s="8" t="s">
        <v>46</v>
      </c>
      <c r="F510" s="6">
        <v>15000</v>
      </c>
      <c r="G510" s="4">
        <v>2016</v>
      </c>
      <c r="H510" s="4" t="s">
        <v>361</v>
      </c>
    </row>
    <row r="511" spans="1:8" ht="15.75" customHeight="1" x14ac:dyDescent="0.2">
      <c r="A511" s="4">
        <v>990</v>
      </c>
      <c r="B511" s="4" t="str">
        <f t="shared" si="1"/>
        <v>Edison Electric Institute_State Policy Network201410000</v>
      </c>
      <c r="C511" s="4" t="str">
        <f ca="1">IFERROR(__xludf.DUMMYFUNCTION("ARRAY_CONSTRAIN(ARRAYFORMULA(SINGLE(TEXTJOIN(""_"",TRUE,D511,G511))), 1, 1)"),"Edison Electric Institute_2014")</f>
        <v>Edison Electric Institute_2014</v>
      </c>
      <c r="D511" s="4" t="s">
        <v>81</v>
      </c>
      <c r="E511" s="8" t="s">
        <v>46</v>
      </c>
      <c r="F511" s="6">
        <v>10000</v>
      </c>
      <c r="G511" s="4">
        <v>2014</v>
      </c>
      <c r="H511" s="4" t="s">
        <v>361</v>
      </c>
    </row>
    <row r="512" spans="1:8" ht="15.75" customHeight="1" x14ac:dyDescent="0.2">
      <c r="A512" s="4" t="s">
        <v>463</v>
      </c>
      <c r="B512" s="4" t="str">
        <f t="shared" ref="B512:B766" si="2">D512&amp;"_"&amp;E512&amp;G512&amp;F512</f>
        <v>Education Freedom Alliance_State Policy Network201710000</v>
      </c>
      <c r="C512" s="4" t="str">
        <f ca="1">IFERROR(__xludf.DUMMYFUNCTION("ARRAY_CONSTRAIN(ARRAYFORMULA(SINGLE(TEXTJOIN(""_"",TRUE,D512,G512))), 1, 1)"),"Education Freedom Alliance_2017")</f>
        <v>Education Freedom Alliance_2017</v>
      </c>
      <c r="D512" s="4" t="s">
        <v>130</v>
      </c>
      <c r="E512" s="8" t="s">
        <v>46</v>
      </c>
      <c r="F512" s="6">
        <v>10000</v>
      </c>
      <c r="G512" s="10">
        <v>2017</v>
      </c>
      <c r="H512" s="4" t="s">
        <v>361</v>
      </c>
    </row>
    <row r="513" spans="1:8" ht="15.75" customHeight="1" x14ac:dyDescent="0.2">
      <c r="A513" s="4" t="s">
        <v>464</v>
      </c>
      <c r="B513" s="4" t="str">
        <f t="shared" si="2"/>
        <v>Edward A &amp; Catherine L Lozick Foundation_State Policy Network202150000</v>
      </c>
      <c r="C513" s="4" t="str">
        <f ca="1">IFERROR(__xludf.DUMMYFUNCTION("ARRAY_CONSTRAIN(ARRAYFORMULA(SINGLE(TEXTJOIN(""_"",TRUE,D513,G513))), 1, 1)"),"Edward A &amp; Catherine L Lozick Foundation_2021")</f>
        <v>Edward A &amp; Catherine L Lozick Foundation_2021</v>
      </c>
      <c r="D513" s="4" t="s">
        <v>65</v>
      </c>
      <c r="E513" s="8" t="s">
        <v>46</v>
      </c>
      <c r="F513" s="6">
        <v>50000</v>
      </c>
      <c r="G513" s="10">
        <v>2021</v>
      </c>
      <c r="H513" s="4" t="s">
        <v>361</v>
      </c>
    </row>
    <row r="514" spans="1:8" ht="15.75" customHeight="1" x14ac:dyDescent="0.2">
      <c r="A514" s="4" t="s">
        <v>465</v>
      </c>
      <c r="B514" s="4" t="str">
        <f t="shared" si="2"/>
        <v>Edward A &amp; Catherine L Lozick Foundation_State Policy Network20205000</v>
      </c>
      <c r="C514" s="4" t="str">
        <f ca="1">IFERROR(__xludf.DUMMYFUNCTION("ARRAY_CONSTRAIN(ARRAYFORMULA(SINGLE(TEXTJOIN(""_"",TRUE,D514,G514))), 1, 1)"),"Edward A &amp; Catherine L Lozick Foundation_2020")</f>
        <v>Edward A &amp; Catherine L Lozick Foundation_2020</v>
      </c>
      <c r="D514" s="4" t="s">
        <v>65</v>
      </c>
      <c r="E514" s="8" t="s">
        <v>46</v>
      </c>
      <c r="F514" s="6">
        <v>5000</v>
      </c>
      <c r="G514" s="10">
        <v>2020</v>
      </c>
      <c r="H514" s="4" t="s">
        <v>361</v>
      </c>
    </row>
    <row r="515" spans="1:8" ht="15.75" customHeight="1" x14ac:dyDescent="0.2">
      <c r="A515" s="4" t="s">
        <v>466</v>
      </c>
      <c r="B515" s="4" t="str">
        <f t="shared" si="2"/>
        <v>Edward A &amp; Catherine L Lozick Foundation_State Policy Network20195000</v>
      </c>
      <c r="C515" s="4" t="str">
        <f ca="1">IFERROR(__xludf.DUMMYFUNCTION("ARRAY_CONSTRAIN(ARRAYFORMULA(SINGLE(TEXTJOIN(""_"",TRUE,D515,G515))), 1, 1)"),"Edward A &amp; Catherine L Lozick Foundation_2019")</f>
        <v>Edward A &amp; Catherine L Lozick Foundation_2019</v>
      </c>
      <c r="D515" s="4" t="s">
        <v>65</v>
      </c>
      <c r="E515" s="8" t="s">
        <v>46</v>
      </c>
      <c r="F515" s="6">
        <v>5000</v>
      </c>
      <c r="G515" s="4">
        <v>2019</v>
      </c>
      <c r="H515" s="4" t="s">
        <v>361</v>
      </c>
    </row>
    <row r="516" spans="1:8" ht="15.75" customHeight="1" x14ac:dyDescent="0.2">
      <c r="A516" s="4" t="s">
        <v>467</v>
      </c>
      <c r="B516" s="4" t="str">
        <f t="shared" si="2"/>
        <v>Edward A &amp; Catherine L Lozick Foundation_State Policy Network20161000</v>
      </c>
      <c r="C516" s="4" t="str">
        <f ca="1">IFERROR(__xludf.DUMMYFUNCTION("ARRAY_CONSTRAIN(ARRAYFORMULA(SINGLE(TEXTJOIN(""_"",TRUE,D516,G516))), 1, 1)"),"Edward A &amp; Catherine L Lozick Foundation_2016")</f>
        <v>Edward A &amp; Catherine L Lozick Foundation_2016</v>
      </c>
      <c r="D516" s="4" t="s">
        <v>65</v>
      </c>
      <c r="E516" s="8" t="s">
        <v>46</v>
      </c>
      <c r="F516" s="4">
        <v>1000</v>
      </c>
      <c r="G516" s="4">
        <v>2016</v>
      </c>
      <c r="H516" s="4" t="s">
        <v>361</v>
      </c>
    </row>
    <row r="517" spans="1:8" ht="15.75" customHeight="1" x14ac:dyDescent="0.2">
      <c r="A517" s="4" t="s">
        <v>467</v>
      </c>
      <c r="B517" s="4" t="str">
        <f t="shared" si="2"/>
        <v>Edward and Wilhelmina Ackerman Foundation_State Policy Network20161000</v>
      </c>
      <c r="C517" s="4" t="str">
        <f ca="1">IFERROR(__xludf.DUMMYFUNCTION("ARRAY_CONSTRAIN(ARRAYFORMULA(SINGLE(TEXTJOIN(""_"",TRUE,D517,G517))), 1, 1)"),"Edward and Wilhelmina Ackerman Foundation_2016")</f>
        <v>Edward and Wilhelmina Ackerman Foundation_2016</v>
      </c>
      <c r="D517" s="4" t="s">
        <v>155</v>
      </c>
      <c r="E517" s="8" t="s">
        <v>46</v>
      </c>
      <c r="F517" s="4">
        <v>1000</v>
      </c>
      <c r="G517" s="10">
        <v>2016</v>
      </c>
      <c r="H517" s="4" t="s">
        <v>361</v>
      </c>
    </row>
    <row r="518" spans="1:8" ht="15.75" customHeight="1" x14ac:dyDescent="0.2">
      <c r="A518" s="4" t="s">
        <v>468</v>
      </c>
      <c r="B518" s="4" t="str">
        <f t="shared" si="2"/>
        <v>Edward and Wilhelmina Ackerman Foundation_State Policy Network20151000</v>
      </c>
      <c r="C518" s="4" t="str">
        <f ca="1">IFERROR(__xludf.DUMMYFUNCTION("ARRAY_CONSTRAIN(ARRAYFORMULA(SINGLE(TEXTJOIN(""_"",TRUE,D518,G518))), 1, 1)"),"Edward and Wilhelmina Ackerman Foundation_2015")</f>
        <v>Edward and Wilhelmina Ackerman Foundation_2015</v>
      </c>
      <c r="D518" s="4" t="s">
        <v>155</v>
      </c>
      <c r="E518" s="8" t="s">
        <v>46</v>
      </c>
      <c r="F518" s="6">
        <v>1000</v>
      </c>
      <c r="G518" s="4">
        <v>2015</v>
      </c>
      <c r="H518" s="4" t="s">
        <v>361</v>
      </c>
    </row>
    <row r="519" spans="1:8" ht="15.75" customHeight="1" x14ac:dyDescent="0.2">
      <c r="A519" s="4" t="s">
        <v>469</v>
      </c>
      <c r="B519" s="4" t="str">
        <f t="shared" si="2"/>
        <v>Edward and Wilhelmina Ackerman Foundation_State Policy Network20141000</v>
      </c>
      <c r="C519" s="4" t="str">
        <f ca="1">IFERROR(__xludf.DUMMYFUNCTION("ARRAY_CONSTRAIN(ARRAYFORMULA(SINGLE(TEXTJOIN(""_"",TRUE,D519,G519))), 1, 1)"),"Edward and Wilhelmina Ackerman Foundation_2014")</f>
        <v>Edward and Wilhelmina Ackerman Foundation_2014</v>
      </c>
      <c r="D519" s="4" t="s">
        <v>155</v>
      </c>
      <c r="E519" s="8" t="s">
        <v>46</v>
      </c>
      <c r="F519" s="6">
        <v>1000</v>
      </c>
      <c r="G519" s="4">
        <v>2014</v>
      </c>
      <c r="H519" s="4" t="s">
        <v>361</v>
      </c>
    </row>
    <row r="520" spans="1:8" ht="15.75" customHeight="1" x14ac:dyDescent="0.2">
      <c r="A520" s="4" t="s">
        <v>470</v>
      </c>
      <c r="B520" s="4" t="str">
        <f t="shared" si="2"/>
        <v>Edward and Wilhelmina Ackerman Foundation_State Policy Network20131000</v>
      </c>
      <c r="C520" s="4" t="str">
        <f ca="1">IFERROR(__xludf.DUMMYFUNCTION("ARRAY_CONSTRAIN(ARRAYFORMULA(SINGLE(TEXTJOIN(""_"",TRUE,D520,G520))), 1, 1)"),"Edward and Wilhelmina Ackerman Foundation_2013")</f>
        <v>Edward and Wilhelmina Ackerman Foundation_2013</v>
      </c>
      <c r="D520" s="4" t="s">
        <v>155</v>
      </c>
      <c r="E520" s="8" t="s">
        <v>46</v>
      </c>
      <c r="F520" s="6">
        <v>1000</v>
      </c>
      <c r="G520" s="4">
        <v>2013</v>
      </c>
      <c r="H520" s="4" t="s">
        <v>361</v>
      </c>
    </row>
    <row r="521" spans="1:8" ht="15.75" customHeight="1" x14ac:dyDescent="0.2">
      <c r="A521" s="4" t="s">
        <v>471</v>
      </c>
      <c r="B521" s="4" t="str">
        <f t="shared" si="2"/>
        <v>Eric Javits Family Foundation_State Policy Network20221000</v>
      </c>
      <c r="C521" s="4" t="str">
        <f ca="1">IFERROR(__xludf.DUMMYFUNCTION("ARRAY_CONSTRAIN(ARRAYFORMULA(SINGLE(TEXTJOIN(""_"",TRUE,D521,G521))), 1, 1)"),"Eric Javits Family Foundation_2022")</f>
        <v>Eric Javits Family Foundation_2022</v>
      </c>
      <c r="D521" s="4" t="s">
        <v>119</v>
      </c>
      <c r="E521" s="8" t="s">
        <v>46</v>
      </c>
      <c r="F521" s="6">
        <v>1000</v>
      </c>
      <c r="G521" s="4">
        <v>2022</v>
      </c>
      <c r="H521" s="4" t="s">
        <v>361</v>
      </c>
    </row>
    <row r="522" spans="1:8" ht="15.75" customHeight="1" x14ac:dyDescent="0.2">
      <c r="A522" s="4">
        <v>990</v>
      </c>
      <c r="B522" s="4" t="str">
        <f t="shared" si="2"/>
        <v>Eric Javits Family Foundation_State Policy Network20212000</v>
      </c>
      <c r="C522" s="4" t="str">
        <f ca="1">IFERROR(__xludf.DUMMYFUNCTION("ARRAY_CONSTRAIN(ARRAYFORMULA(SINGLE(TEXTJOIN(""_"",TRUE,D522,G522))), 1, 1)"),"Eric Javits Family Foundation_2021")</f>
        <v>Eric Javits Family Foundation_2021</v>
      </c>
      <c r="D522" s="4" t="s">
        <v>119</v>
      </c>
      <c r="E522" s="8" t="s">
        <v>46</v>
      </c>
      <c r="F522" s="6">
        <v>2000</v>
      </c>
      <c r="G522" s="4">
        <v>2021</v>
      </c>
      <c r="H522" s="4" t="s">
        <v>361</v>
      </c>
    </row>
    <row r="523" spans="1:8" ht="15.75" customHeight="1" x14ac:dyDescent="0.2">
      <c r="A523" s="4">
        <v>990</v>
      </c>
      <c r="B523" s="4" t="str">
        <f t="shared" si="2"/>
        <v>Eric Javits Family Foundation_State Policy Network20201000</v>
      </c>
      <c r="C523" s="4" t="str">
        <f ca="1">IFERROR(__xludf.DUMMYFUNCTION("ARRAY_CONSTRAIN(ARRAYFORMULA(SINGLE(TEXTJOIN(""_"",TRUE,D523,G523))), 1, 1)"),"Eric Javits Family Foundation_2020")</f>
        <v>Eric Javits Family Foundation_2020</v>
      </c>
      <c r="D523" s="4" t="s">
        <v>119</v>
      </c>
      <c r="E523" s="8" t="s">
        <v>46</v>
      </c>
      <c r="F523" s="6">
        <v>1000</v>
      </c>
      <c r="G523" s="4">
        <v>2020</v>
      </c>
      <c r="H523" s="4" t="s">
        <v>361</v>
      </c>
    </row>
    <row r="524" spans="1:8" ht="15.75" customHeight="1" x14ac:dyDescent="0.2">
      <c r="A524" s="4">
        <v>990</v>
      </c>
      <c r="B524" s="4" t="str">
        <f t="shared" si="2"/>
        <v>Eric Javits Family Foundation_State Policy Network20191000</v>
      </c>
      <c r="C524" s="4" t="str">
        <f ca="1">IFERROR(__xludf.DUMMYFUNCTION("ARRAY_CONSTRAIN(ARRAYFORMULA(SINGLE(TEXTJOIN(""_"",TRUE,D524,G524))), 1, 1)"),"Eric Javits Family Foundation_2019")</f>
        <v>Eric Javits Family Foundation_2019</v>
      </c>
      <c r="D524" s="4" t="s">
        <v>119</v>
      </c>
      <c r="E524" s="8" t="s">
        <v>46</v>
      </c>
      <c r="F524" s="6">
        <v>1000</v>
      </c>
      <c r="G524" s="4">
        <v>2019</v>
      </c>
      <c r="H524" s="4" t="s">
        <v>361</v>
      </c>
    </row>
    <row r="525" spans="1:8" ht="15.75" customHeight="1" x14ac:dyDescent="0.2">
      <c r="A525" s="4">
        <v>990</v>
      </c>
      <c r="B525" s="4" t="str">
        <f t="shared" si="2"/>
        <v>Eric Javits Family Foundation_State Policy Network20181000</v>
      </c>
      <c r="C525" s="4" t="str">
        <f ca="1">IFERROR(__xludf.DUMMYFUNCTION("ARRAY_CONSTRAIN(ARRAYFORMULA(SINGLE(TEXTJOIN(""_"",TRUE,D525,G525))), 1, 1)"),"Eric Javits Family Foundation_2018")</f>
        <v>Eric Javits Family Foundation_2018</v>
      </c>
      <c r="D525" s="4" t="s">
        <v>119</v>
      </c>
      <c r="E525" s="8" t="s">
        <v>46</v>
      </c>
      <c r="F525" s="6">
        <v>1000</v>
      </c>
      <c r="G525" s="4">
        <v>2018</v>
      </c>
      <c r="H525" s="4" t="s">
        <v>361</v>
      </c>
    </row>
    <row r="526" spans="1:8" ht="15.75" customHeight="1" x14ac:dyDescent="0.2">
      <c r="A526" s="4">
        <v>990</v>
      </c>
      <c r="B526" s="4" t="str">
        <f t="shared" si="2"/>
        <v>Eric Javits Family Foundation_State Policy Network20171000</v>
      </c>
      <c r="C526" s="4" t="str">
        <f ca="1">IFERROR(__xludf.DUMMYFUNCTION("ARRAY_CONSTRAIN(ARRAYFORMULA(SINGLE(TEXTJOIN(""_"",TRUE,D526,G526))), 1, 1)"),"Eric Javits Family Foundation_2017")</f>
        <v>Eric Javits Family Foundation_2017</v>
      </c>
      <c r="D526" s="4" t="s">
        <v>119</v>
      </c>
      <c r="E526" s="8" t="s">
        <v>46</v>
      </c>
      <c r="F526" s="6">
        <v>1000</v>
      </c>
      <c r="G526" s="4">
        <v>2017</v>
      </c>
      <c r="H526" s="4" t="s">
        <v>361</v>
      </c>
    </row>
    <row r="527" spans="1:8" ht="15.75" customHeight="1" x14ac:dyDescent="0.2">
      <c r="A527" s="4">
        <v>990</v>
      </c>
      <c r="B527" s="4" t="str">
        <f t="shared" si="2"/>
        <v>Eric Javits Family Foundation_State Policy Network20161000</v>
      </c>
      <c r="C527" s="4" t="str">
        <f ca="1">IFERROR(__xludf.DUMMYFUNCTION("ARRAY_CONSTRAIN(ARRAYFORMULA(SINGLE(TEXTJOIN(""_"",TRUE,D527,G527))), 1, 1)"),"Eric Javits Family Foundation_2016")</f>
        <v>Eric Javits Family Foundation_2016</v>
      </c>
      <c r="D527" s="4" t="s">
        <v>119</v>
      </c>
      <c r="E527" s="8" t="s">
        <v>46</v>
      </c>
      <c r="F527" s="6">
        <v>1000</v>
      </c>
      <c r="G527" s="4">
        <v>2016</v>
      </c>
      <c r="H527" s="4" t="s">
        <v>361</v>
      </c>
    </row>
    <row r="528" spans="1:8" ht="15.75" customHeight="1" x14ac:dyDescent="0.2">
      <c r="A528" s="4">
        <v>990</v>
      </c>
      <c r="B528" s="4" t="str">
        <f t="shared" si="2"/>
        <v>Eric Javits Family Foundation_State Policy Network20151000</v>
      </c>
      <c r="C528" s="4" t="str">
        <f ca="1">IFERROR(__xludf.DUMMYFUNCTION("ARRAY_CONSTRAIN(ARRAYFORMULA(SINGLE(TEXTJOIN(""_"",TRUE,D528,G528))), 1, 1)"),"Eric Javits Family Foundation_2015")</f>
        <v>Eric Javits Family Foundation_2015</v>
      </c>
      <c r="D528" s="4" t="s">
        <v>119</v>
      </c>
      <c r="E528" s="8" t="s">
        <v>46</v>
      </c>
      <c r="F528" s="6">
        <v>1000</v>
      </c>
      <c r="G528" s="4">
        <v>2015</v>
      </c>
      <c r="H528" s="4" t="s">
        <v>361</v>
      </c>
    </row>
    <row r="529" spans="1:8" ht="15.75" customHeight="1" x14ac:dyDescent="0.2">
      <c r="A529" s="4">
        <v>990</v>
      </c>
      <c r="B529" s="4" t="str">
        <f t="shared" si="2"/>
        <v>Eric Javits Family Foundation_State Policy Network2014500</v>
      </c>
      <c r="C529" s="4" t="str">
        <f ca="1">IFERROR(__xludf.DUMMYFUNCTION("ARRAY_CONSTRAIN(ARRAYFORMULA(SINGLE(TEXTJOIN(""_"",TRUE,D529,G529))), 1, 1)"),"Eric Javits Family Foundation_2014")</f>
        <v>Eric Javits Family Foundation_2014</v>
      </c>
      <c r="D529" s="4" t="s">
        <v>119</v>
      </c>
      <c r="E529" s="8" t="s">
        <v>46</v>
      </c>
      <c r="F529" s="6">
        <v>500</v>
      </c>
      <c r="G529" s="4">
        <v>2014</v>
      </c>
      <c r="H529" s="4" t="s">
        <v>361</v>
      </c>
    </row>
    <row r="530" spans="1:8" ht="15.75" customHeight="1" x14ac:dyDescent="0.2">
      <c r="A530" s="4">
        <v>990</v>
      </c>
      <c r="B530" s="4" t="str">
        <f t="shared" si="2"/>
        <v>Eric Javits Family Foundation_State Policy Network2013250</v>
      </c>
      <c r="C530" s="4" t="str">
        <f ca="1">IFERROR(__xludf.DUMMYFUNCTION("ARRAY_CONSTRAIN(ARRAYFORMULA(SINGLE(TEXTJOIN(""_"",TRUE,D530,G530))), 1, 1)"),"Eric Javits Family Foundation_2013")</f>
        <v>Eric Javits Family Foundation_2013</v>
      </c>
      <c r="D530" s="4" t="s">
        <v>119</v>
      </c>
      <c r="E530" s="8" t="s">
        <v>46</v>
      </c>
      <c r="F530" s="6">
        <v>250</v>
      </c>
      <c r="G530" s="4">
        <v>2013</v>
      </c>
      <c r="H530" s="4" t="s">
        <v>361</v>
      </c>
    </row>
    <row r="531" spans="1:8" ht="15.75" customHeight="1" x14ac:dyDescent="0.2">
      <c r="A531" s="4">
        <v>990</v>
      </c>
      <c r="B531" s="4" t="str">
        <f t="shared" si="2"/>
        <v>Eric Javits Family Foundation_State Policy Network2012500</v>
      </c>
      <c r="C531" s="4" t="str">
        <f ca="1">IFERROR(__xludf.DUMMYFUNCTION("ARRAY_CONSTRAIN(ARRAYFORMULA(SINGLE(TEXTJOIN(""_"",TRUE,D531,G531))), 1, 1)"),"Eric Javits Family Foundation_2012")</f>
        <v>Eric Javits Family Foundation_2012</v>
      </c>
      <c r="D531" s="4" t="s">
        <v>119</v>
      </c>
      <c r="E531" s="8" t="s">
        <v>46</v>
      </c>
      <c r="F531" s="6">
        <v>500</v>
      </c>
      <c r="G531" s="4">
        <v>2012</v>
      </c>
      <c r="H531" s="4" t="s">
        <v>361</v>
      </c>
    </row>
    <row r="532" spans="1:8" ht="15.75" customHeight="1" x14ac:dyDescent="0.2">
      <c r="A532" s="4">
        <v>990</v>
      </c>
      <c r="B532" s="4" t="str">
        <f t="shared" si="2"/>
        <v>Eric Javits Family Foundation_State Policy Network20111000</v>
      </c>
      <c r="C532" s="4" t="str">
        <f ca="1">IFERROR(__xludf.DUMMYFUNCTION("ARRAY_CONSTRAIN(ARRAYFORMULA(SINGLE(TEXTJOIN(""_"",TRUE,D532,G532))), 1, 1)"),"Eric Javits Family Foundation_2011")</f>
        <v>Eric Javits Family Foundation_2011</v>
      </c>
      <c r="D532" s="4" t="s">
        <v>119</v>
      </c>
      <c r="E532" s="8" t="s">
        <v>46</v>
      </c>
      <c r="F532" s="6">
        <v>1000</v>
      </c>
      <c r="G532" s="4">
        <v>2011</v>
      </c>
      <c r="H532" s="4" t="s">
        <v>361</v>
      </c>
    </row>
    <row r="533" spans="1:8" ht="15.75" customHeight="1" x14ac:dyDescent="0.2">
      <c r="A533" s="4">
        <v>990</v>
      </c>
      <c r="B533" s="4" t="str">
        <f t="shared" si="2"/>
        <v>Eric Javits Family Foundation_State Policy Network2010500</v>
      </c>
      <c r="C533" s="4" t="str">
        <f ca="1">IFERROR(__xludf.DUMMYFUNCTION("ARRAY_CONSTRAIN(ARRAYFORMULA(SINGLE(TEXTJOIN(""_"",TRUE,D533,G533))), 1, 1)"),"Eric Javits Family Foundation_2010")</f>
        <v>Eric Javits Family Foundation_2010</v>
      </c>
      <c r="D533" s="4" t="s">
        <v>119</v>
      </c>
      <c r="E533" s="8" t="s">
        <v>46</v>
      </c>
      <c r="F533" s="6">
        <v>500</v>
      </c>
      <c r="G533" s="4">
        <v>2010</v>
      </c>
      <c r="H533" s="4" t="s">
        <v>361</v>
      </c>
    </row>
    <row r="534" spans="1:8" ht="15.75" customHeight="1" x14ac:dyDescent="0.2">
      <c r="A534" s="4">
        <v>990</v>
      </c>
      <c r="B534" s="4" t="str">
        <f t="shared" si="2"/>
        <v>Eric Javits Family Foundation_State Policy Network2009500</v>
      </c>
      <c r="C534" s="4" t="str">
        <f ca="1">IFERROR(__xludf.DUMMYFUNCTION("ARRAY_CONSTRAIN(ARRAYFORMULA(SINGLE(TEXTJOIN(""_"",TRUE,D534,G534))), 1, 1)"),"Eric Javits Family Foundation_2009")</f>
        <v>Eric Javits Family Foundation_2009</v>
      </c>
      <c r="D534" s="4" t="s">
        <v>119</v>
      </c>
      <c r="E534" s="8" t="s">
        <v>46</v>
      </c>
      <c r="F534" s="6">
        <v>500</v>
      </c>
      <c r="G534" s="4">
        <v>2009</v>
      </c>
      <c r="H534" s="4" t="s">
        <v>361</v>
      </c>
    </row>
    <row r="535" spans="1:8" ht="15.75" customHeight="1" x14ac:dyDescent="0.2">
      <c r="A535" s="4">
        <v>990</v>
      </c>
      <c r="B535" s="4" t="str">
        <f t="shared" si="2"/>
        <v>Eric Javits Family Foundation_State Policy Network20081000</v>
      </c>
      <c r="C535" s="4" t="str">
        <f ca="1">IFERROR(__xludf.DUMMYFUNCTION("ARRAY_CONSTRAIN(ARRAYFORMULA(SINGLE(TEXTJOIN(""_"",TRUE,D535,G535))), 1, 1)"),"Eric Javits Family Foundation_2008")</f>
        <v>Eric Javits Family Foundation_2008</v>
      </c>
      <c r="D535" s="4" t="s">
        <v>119</v>
      </c>
      <c r="E535" s="8" t="s">
        <v>46</v>
      </c>
      <c r="F535" s="6">
        <v>1000</v>
      </c>
      <c r="G535" s="4">
        <v>2008</v>
      </c>
      <c r="H535" s="4" t="s">
        <v>361</v>
      </c>
    </row>
    <row r="536" spans="1:8" ht="15.75" customHeight="1" x14ac:dyDescent="0.2">
      <c r="A536" s="4" t="s">
        <v>472</v>
      </c>
      <c r="B536" s="4" t="str">
        <f t="shared" si="2"/>
        <v>Ewing Marion Kauffman Foundation_State Policy Network201721410</v>
      </c>
      <c r="C536" s="4" t="str">
        <f ca="1">IFERROR(__xludf.DUMMYFUNCTION("ARRAY_CONSTRAIN(ARRAYFORMULA(SINGLE(TEXTJOIN(""_"",TRUE,D536,G536))), 1, 1)"),"Ewing Marion Kauffman Foundation_2017")</f>
        <v>Ewing Marion Kauffman Foundation_2017</v>
      </c>
      <c r="D536" s="4" t="s">
        <v>98</v>
      </c>
      <c r="E536" s="8" t="s">
        <v>46</v>
      </c>
      <c r="F536" s="6">
        <v>21410</v>
      </c>
      <c r="G536" s="4">
        <v>2017</v>
      </c>
      <c r="H536" s="4" t="s">
        <v>361</v>
      </c>
    </row>
    <row r="537" spans="1:8" ht="15.75" customHeight="1" x14ac:dyDescent="0.2">
      <c r="A537" s="4" t="s">
        <v>473</v>
      </c>
      <c r="B537" s="4" t="str">
        <f t="shared" si="2"/>
        <v>Farmer Family Foundation_State Policy Network20181000</v>
      </c>
      <c r="C537" s="4" t="str">
        <f ca="1">IFERROR(__xludf.DUMMYFUNCTION("ARRAY_CONSTRAIN(ARRAYFORMULA(SINGLE(TEXTJOIN(""_"",TRUE,D537,G537))), 1, 1)"),"Farmer Family Foundation_2018")</f>
        <v>Farmer Family Foundation_2018</v>
      </c>
      <c r="D537" s="4" t="s">
        <v>186</v>
      </c>
      <c r="E537" s="8" t="s">
        <v>46</v>
      </c>
      <c r="F537" s="6">
        <v>1000</v>
      </c>
      <c r="G537" s="4">
        <v>2018</v>
      </c>
      <c r="H537" s="4" t="s">
        <v>361</v>
      </c>
    </row>
    <row r="538" spans="1:8" ht="15.75" customHeight="1" x14ac:dyDescent="0.2">
      <c r="A538" s="4" t="s">
        <v>474</v>
      </c>
      <c r="B538" s="4" t="str">
        <f t="shared" si="2"/>
        <v>Farrell Family Foundation_State Policy Network202125000</v>
      </c>
      <c r="C538" s="4" t="str">
        <f ca="1">IFERROR(__xludf.DUMMYFUNCTION("ARRAY_CONSTRAIN(ARRAYFORMULA(SINGLE(TEXTJOIN(""_"",TRUE,D538,G538))), 1, 1)"),"Farrell Family Foundation_2021")</f>
        <v>Farrell Family Foundation_2021</v>
      </c>
      <c r="D538" s="4" t="s">
        <v>58</v>
      </c>
      <c r="E538" s="8" t="s">
        <v>46</v>
      </c>
      <c r="F538" s="6">
        <v>25000</v>
      </c>
      <c r="G538" s="4">
        <v>2021</v>
      </c>
      <c r="H538" s="4" t="s">
        <v>361</v>
      </c>
    </row>
    <row r="539" spans="1:8" ht="15.75" customHeight="1" x14ac:dyDescent="0.2">
      <c r="A539" s="4" t="s">
        <v>475</v>
      </c>
      <c r="B539" s="4" t="str">
        <f t="shared" si="2"/>
        <v>Farrell Family Foundation_State Policy Network202025000</v>
      </c>
      <c r="C539" s="4" t="str">
        <f ca="1">IFERROR(__xludf.DUMMYFUNCTION("ARRAY_CONSTRAIN(ARRAYFORMULA(SINGLE(TEXTJOIN(""_"",TRUE,D539,G539))), 1, 1)"),"Farrell Family Foundation_2020")</f>
        <v>Farrell Family Foundation_2020</v>
      </c>
      <c r="D539" s="4" t="s">
        <v>58</v>
      </c>
      <c r="E539" s="8" t="s">
        <v>46</v>
      </c>
      <c r="F539" s="6">
        <v>25000</v>
      </c>
      <c r="G539" s="4">
        <v>2020</v>
      </c>
      <c r="H539" s="4" t="s">
        <v>361</v>
      </c>
    </row>
    <row r="540" spans="1:8" ht="15.75" customHeight="1" x14ac:dyDescent="0.2">
      <c r="A540" s="4" t="s">
        <v>476</v>
      </c>
      <c r="B540" s="4" t="str">
        <f t="shared" si="2"/>
        <v>Farrell Family Foundation_State Policy Network201925000</v>
      </c>
      <c r="C540" s="4" t="str">
        <f ca="1">IFERROR(__xludf.DUMMYFUNCTION("ARRAY_CONSTRAIN(ARRAYFORMULA(SINGLE(TEXTJOIN(""_"",TRUE,D540,G540))), 1, 1)"),"Farrell Family Foundation_2019")</f>
        <v>Farrell Family Foundation_2019</v>
      </c>
      <c r="D540" s="4" t="s">
        <v>58</v>
      </c>
      <c r="E540" s="8" t="s">
        <v>46</v>
      </c>
      <c r="F540" s="6">
        <v>25000</v>
      </c>
      <c r="G540" s="4">
        <v>2019</v>
      </c>
      <c r="H540" s="4" t="s">
        <v>361</v>
      </c>
    </row>
    <row r="541" spans="1:8" ht="15.75" customHeight="1" x14ac:dyDescent="0.2">
      <c r="A541" s="4" t="s">
        <v>477</v>
      </c>
      <c r="B541" s="4" t="str">
        <f t="shared" si="2"/>
        <v>Farrell Family Foundation_State Policy Network20163500</v>
      </c>
      <c r="C541" s="4" t="str">
        <f ca="1">IFERROR(__xludf.DUMMYFUNCTION("ARRAY_CONSTRAIN(ARRAYFORMULA(SINGLE(TEXTJOIN(""_"",TRUE,D541,G541))), 1, 1)"),"Farrell Family Foundation_2016")</f>
        <v>Farrell Family Foundation_2016</v>
      </c>
      <c r="D541" s="4" t="s">
        <v>58</v>
      </c>
      <c r="E541" s="8" t="s">
        <v>46</v>
      </c>
      <c r="F541" s="6">
        <v>3500</v>
      </c>
      <c r="G541" s="4">
        <v>2016</v>
      </c>
      <c r="H541" s="4" t="s">
        <v>361</v>
      </c>
    </row>
    <row r="542" spans="1:8" ht="15.75" customHeight="1" x14ac:dyDescent="0.2">
      <c r="A542" s="4" t="s">
        <v>478</v>
      </c>
      <c r="B542" s="4" t="str">
        <f t="shared" si="2"/>
        <v>Farrell Family Foundation_State Policy Network20151000</v>
      </c>
      <c r="C542" s="4" t="str">
        <f ca="1">IFERROR(__xludf.DUMMYFUNCTION("ARRAY_CONSTRAIN(ARRAYFORMULA(SINGLE(TEXTJOIN(""_"",TRUE,D542,G542))), 1, 1)"),"Farrell Family Foundation_2015")</f>
        <v>Farrell Family Foundation_2015</v>
      </c>
      <c r="D542" s="4" t="s">
        <v>58</v>
      </c>
      <c r="E542" s="8" t="s">
        <v>46</v>
      </c>
      <c r="F542" s="6">
        <v>1000</v>
      </c>
      <c r="G542" s="4">
        <v>2015</v>
      </c>
      <c r="H542" s="4" t="s">
        <v>361</v>
      </c>
    </row>
    <row r="543" spans="1:8" ht="15.75" customHeight="1" x14ac:dyDescent="0.2">
      <c r="A543" s="4" t="s">
        <v>479</v>
      </c>
      <c r="B543" s="4" t="str">
        <f t="shared" si="2"/>
        <v>Farrell Family Foundation_State Policy Network20131000</v>
      </c>
      <c r="C543" s="4" t="str">
        <f ca="1">IFERROR(__xludf.DUMMYFUNCTION("ARRAY_CONSTRAIN(ARRAYFORMULA(SINGLE(TEXTJOIN(""_"",TRUE,D543,G543))), 1, 1)"),"Farrell Family Foundation_2013")</f>
        <v>Farrell Family Foundation_2013</v>
      </c>
      <c r="D543" s="4" t="s">
        <v>58</v>
      </c>
      <c r="E543" s="8" t="s">
        <v>46</v>
      </c>
      <c r="F543" s="6">
        <v>1000</v>
      </c>
      <c r="G543" s="4">
        <v>2013</v>
      </c>
      <c r="H543" s="4" t="s">
        <v>361</v>
      </c>
    </row>
    <row r="544" spans="1:8" ht="15.75" customHeight="1" x14ac:dyDescent="0.2">
      <c r="A544" s="4" t="s">
        <v>480</v>
      </c>
      <c r="B544" s="4" t="str">
        <f t="shared" si="2"/>
        <v>Fidelity Investments Charitable Gift Fund_State Policy Network2022131750</v>
      </c>
      <c r="C544" s="4" t="str">
        <f ca="1">IFERROR(__xludf.DUMMYFUNCTION("ARRAY_CONSTRAIN(ARRAYFORMULA(SINGLE(TEXTJOIN(""_"",TRUE,D544,G544))), 1, 1)"),"Fidelity Investments Charitable Gift Fund_2022")</f>
        <v>Fidelity Investments Charitable Gift Fund_2022</v>
      </c>
      <c r="D544" s="4" t="s">
        <v>18</v>
      </c>
      <c r="E544" s="8" t="s">
        <v>46</v>
      </c>
      <c r="F544" s="6">
        <v>131750</v>
      </c>
      <c r="G544" s="4">
        <v>2022</v>
      </c>
      <c r="H544" s="4" t="s">
        <v>361</v>
      </c>
    </row>
    <row r="545" spans="1:9" ht="15.75" customHeight="1" x14ac:dyDescent="0.2">
      <c r="A545" s="4" t="s">
        <v>481</v>
      </c>
      <c r="B545" s="4" t="str">
        <f t="shared" si="2"/>
        <v>Fidelity Investments Charitable Gift Fund_State Policy Network2021189950</v>
      </c>
      <c r="C545" s="4" t="str">
        <f ca="1">IFERROR(__xludf.DUMMYFUNCTION("ARRAY_CONSTRAIN(ARRAYFORMULA(SINGLE(TEXTJOIN(""_"",TRUE,D545,G545))), 1, 1)"),"Fidelity Investments Charitable Gift Fund_2021")</f>
        <v>Fidelity Investments Charitable Gift Fund_2021</v>
      </c>
      <c r="D545" s="4" t="s">
        <v>18</v>
      </c>
      <c r="E545" s="8" t="s">
        <v>46</v>
      </c>
      <c r="F545" s="6">
        <v>189950</v>
      </c>
      <c r="G545" s="4">
        <v>2021</v>
      </c>
      <c r="H545" s="4" t="s">
        <v>361</v>
      </c>
    </row>
    <row r="546" spans="1:9" ht="15.75" customHeight="1" x14ac:dyDescent="0.2">
      <c r="A546" s="4" t="s">
        <v>482</v>
      </c>
      <c r="B546" s="4" t="str">
        <f t="shared" si="2"/>
        <v>Fidelity Investments Charitable Gift Fund_State Policy Network2020272605</v>
      </c>
      <c r="C546" s="4" t="str">
        <f ca="1">IFERROR(__xludf.DUMMYFUNCTION("ARRAY_CONSTRAIN(ARRAYFORMULA(SINGLE(TEXTJOIN(""_"",TRUE,D546,G546))), 1, 1)"),"Fidelity Investments Charitable Gift Fund_2020")</f>
        <v>Fidelity Investments Charitable Gift Fund_2020</v>
      </c>
      <c r="D546" s="4" t="s">
        <v>18</v>
      </c>
      <c r="E546" s="8" t="s">
        <v>46</v>
      </c>
      <c r="F546" s="6">
        <v>272605</v>
      </c>
      <c r="G546" s="4">
        <v>2020</v>
      </c>
      <c r="H546" s="4" t="s">
        <v>361</v>
      </c>
    </row>
    <row r="547" spans="1:9" ht="15.75" customHeight="1" x14ac:dyDescent="0.2">
      <c r="A547" s="4" t="s">
        <v>483</v>
      </c>
      <c r="B547" s="4" t="str">
        <f t="shared" si="2"/>
        <v>Fidelity Investments Charitable Gift Fund_State Policy Network2019188675</v>
      </c>
      <c r="C547" s="4" t="str">
        <f ca="1">IFERROR(__xludf.DUMMYFUNCTION("ARRAY_CONSTRAIN(ARRAYFORMULA(SINGLE(TEXTJOIN(""_"",TRUE,D547,G547))), 1, 1)"),"Fidelity Investments Charitable Gift Fund_2019")</f>
        <v>Fidelity Investments Charitable Gift Fund_2019</v>
      </c>
      <c r="D547" s="4" t="s">
        <v>18</v>
      </c>
      <c r="E547" s="8" t="s">
        <v>46</v>
      </c>
      <c r="F547" s="6">
        <v>188675</v>
      </c>
      <c r="G547" s="4">
        <v>2019</v>
      </c>
      <c r="H547" s="4" t="s">
        <v>361</v>
      </c>
    </row>
    <row r="548" spans="1:9" ht="15.75" customHeight="1" x14ac:dyDescent="0.2">
      <c r="A548" s="4" t="s">
        <v>484</v>
      </c>
      <c r="B548" s="4" t="str">
        <f t="shared" si="2"/>
        <v>Fidelity Investments Charitable Gift Fund_State Policy Network2018139880</v>
      </c>
      <c r="C548" s="4" t="str">
        <f ca="1">IFERROR(__xludf.DUMMYFUNCTION("ARRAY_CONSTRAIN(ARRAYFORMULA(SINGLE(TEXTJOIN(""_"",TRUE,D548,G548))), 1, 1)"),"Fidelity Investments Charitable Gift Fund_2018")</f>
        <v>Fidelity Investments Charitable Gift Fund_2018</v>
      </c>
      <c r="D548" s="4" t="s">
        <v>18</v>
      </c>
      <c r="E548" s="8" t="s">
        <v>46</v>
      </c>
      <c r="F548" s="6">
        <v>139880</v>
      </c>
      <c r="G548" s="4">
        <v>2018</v>
      </c>
      <c r="H548" s="4" t="s">
        <v>361</v>
      </c>
    </row>
    <row r="549" spans="1:9" ht="15.75" customHeight="1" x14ac:dyDescent="0.2">
      <c r="A549" s="4" t="s">
        <v>485</v>
      </c>
      <c r="B549" s="4" t="str">
        <f t="shared" si="2"/>
        <v>Florence and Gordon Holland Family Foundation_State Policy Network2021500</v>
      </c>
      <c r="C549" s="4" t="str">
        <f ca="1">IFERROR(__xludf.DUMMYFUNCTION("ARRAY_CONSTRAIN(ARRAYFORMULA(SINGLE(TEXTJOIN(""_"",TRUE,D549,G549))), 1, 1)"),"Florence and Gordon Holland Family Foundation_2021")</f>
        <v>Florence and Gordon Holland Family Foundation_2021</v>
      </c>
      <c r="D549" s="4" t="s">
        <v>185</v>
      </c>
      <c r="E549" s="8" t="s">
        <v>46</v>
      </c>
      <c r="F549" s="6">
        <v>500</v>
      </c>
      <c r="G549" s="4">
        <v>2021</v>
      </c>
      <c r="H549" s="4" t="s">
        <v>361</v>
      </c>
    </row>
    <row r="550" spans="1:9" ht="15.75" customHeight="1" x14ac:dyDescent="0.2">
      <c r="A550" s="4" t="s">
        <v>486</v>
      </c>
      <c r="B550" s="4" t="str">
        <f t="shared" si="2"/>
        <v>Florence and Gordon Holland Family Foundation_State Policy Network2020500</v>
      </c>
      <c r="C550" s="4" t="str">
        <f ca="1">IFERROR(__xludf.DUMMYFUNCTION("ARRAY_CONSTRAIN(ARRAYFORMULA(SINGLE(TEXTJOIN(""_"",TRUE,D550,G550))), 1, 1)"),"Florence and Gordon Holland Family Foundation_2020")</f>
        <v>Florence and Gordon Holland Family Foundation_2020</v>
      </c>
      <c r="D550" s="4" t="s">
        <v>185</v>
      </c>
      <c r="E550" s="8" t="s">
        <v>46</v>
      </c>
      <c r="F550" s="6">
        <v>500</v>
      </c>
      <c r="G550" s="4">
        <v>2020</v>
      </c>
      <c r="H550" s="4" t="s">
        <v>361</v>
      </c>
    </row>
    <row r="551" spans="1:9" ht="15.75" customHeight="1" x14ac:dyDescent="0.2">
      <c r="A551" s="4">
        <v>990</v>
      </c>
      <c r="B551" s="4" t="str">
        <f t="shared" si="2"/>
        <v>Foundation for Individual Liberty_State Policy Network20225000</v>
      </c>
      <c r="C551" s="4" t="str">
        <f ca="1">IFERROR(__xludf.DUMMYFUNCTION("ARRAY_CONSTRAIN(ARRAYFORMULA(SINGLE(TEXTJOIN(""_"",TRUE,D551,G551))), 1, 1)"),"Foundation for Individual Liberty_2022")</f>
        <v>Foundation for Individual Liberty_2022</v>
      </c>
      <c r="D551" s="4" t="s">
        <v>64</v>
      </c>
      <c r="E551" s="8" t="s">
        <v>46</v>
      </c>
      <c r="F551" s="6">
        <v>5000</v>
      </c>
      <c r="G551" s="4">
        <v>2022</v>
      </c>
      <c r="H551" s="4" t="s">
        <v>361</v>
      </c>
    </row>
    <row r="552" spans="1:9" ht="15.75" customHeight="1" x14ac:dyDescent="0.2">
      <c r="A552" s="4">
        <v>990</v>
      </c>
      <c r="B552" s="4" t="str">
        <f t="shared" si="2"/>
        <v>Foundation for Individual Liberty_State Policy Network20215000</v>
      </c>
      <c r="C552" s="4" t="str">
        <f ca="1">IFERROR(__xludf.DUMMYFUNCTION("ARRAY_CONSTRAIN(ARRAYFORMULA(SINGLE(TEXTJOIN(""_"",TRUE,D552,G552))), 1, 1)"),"Foundation for Individual Liberty_2021")</f>
        <v>Foundation for Individual Liberty_2021</v>
      </c>
      <c r="D552" s="4" t="s">
        <v>64</v>
      </c>
      <c r="E552" s="8" t="s">
        <v>46</v>
      </c>
      <c r="F552" s="6">
        <v>5000</v>
      </c>
      <c r="G552" s="4">
        <v>2021</v>
      </c>
      <c r="H552" s="4" t="s">
        <v>361</v>
      </c>
    </row>
    <row r="553" spans="1:9" ht="15.75" customHeight="1" x14ac:dyDescent="0.2">
      <c r="A553" s="4">
        <v>990</v>
      </c>
      <c r="B553" s="4" t="str">
        <f t="shared" si="2"/>
        <v>Foundation for Individual Liberty_State Policy Network20205000</v>
      </c>
      <c r="C553" s="4" t="str">
        <f ca="1">IFERROR(__xludf.DUMMYFUNCTION("ARRAY_CONSTRAIN(ARRAYFORMULA(SINGLE(TEXTJOIN(""_"",TRUE,D553,G553))), 1, 1)"),"Foundation for Individual Liberty_2020")</f>
        <v>Foundation for Individual Liberty_2020</v>
      </c>
      <c r="D553" s="4" t="s">
        <v>64</v>
      </c>
      <c r="E553" s="8" t="s">
        <v>46</v>
      </c>
      <c r="F553" s="6">
        <v>5000</v>
      </c>
      <c r="G553" s="4">
        <v>2020</v>
      </c>
      <c r="H553" s="4" t="s">
        <v>361</v>
      </c>
    </row>
    <row r="554" spans="1:9" ht="15.75" customHeight="1" x14ac:dyDescent="0.2">
      <c r="A554" s="4">
        <v>990</v>
      </c>
      <c r="B554" s="4" t="str">
        <f t="shared" si="2"/>
        <v>Foundation for Individual Liberty_State Policy Network201910000</v>
      </c>
      <c r="C554" s="4" t="str">
        <f ca="1">IFERROR(__xludf.DUMMYFUNCTION("ARRAY_CONSTRAIN(ARRAYFORMULA(SINGLE(TEXTJOIN(""_"",TRUE,D554,G554))), 1, 1)"),"Foundation for Individual Liberty_2019")</f>
        <v>Foundation for Individual Liberty_2019</v>
      </c>
      <c r="D554" s="4" t="s">
        <v>64</v>
      </c>
      <c r="E554" s="8" t="s">
        <v>46</v>
      </c>
      <c r="F554" s="6">
        <v>10000</v>
      </c>
      <c r="G554" s="4">
        <v>2019</v>
      </c>
      <c r="H554" s="4" t="s">
        <v>361</v>
      </c>
    </row>
    <row r="555" spans="1:9" ht="15.75" customHeight="1" x14ac:dyDescent="0.2">
      <c r="A555" s="4">
        <v>990</v>
      </c>
      <c r="B555" s="4" t="str">
        <f t="shared" si="2"/>
        <v>Foundation for Individual Liberty_State Policy Network201825000</v>
      </c>
      <c r="C555" s="4" t="str">
        <f ca="1">IFERROR(__xludf.DUMMYFUNCTION("ARRAY_CONSTRAIN(ARRAYFORMULA(SINGLE(TEXTJOIN(""_"",TRUE,D555,G555))), 1, 1)"),"Foundation for Individual Liberty_2018")</f>
        <v>Foundation for Individual Liberty_2018</v>
      </c>
      <c r="D555" s="4" t="s">
        <v>64</v>
      </c>
      <c r="E555" s="8" t="s">
        <v>46</v>
      </c>
      <c r="F555" s="6">
        <v>25000</v>
      </c>
      <c r="G555" s="4">
        <v>2018</v>
      </c>
      <c r="H555" s="4" t="s">
        <v>361</v>
      </c>
    </row>
    <row r="556" spans="1:9" ht="15.75" customHeight="1" x14ac:dyDescent="0.2">
      <c r="A556" s="4">
        <v>990</v>
      </c>
      <c r="B556" s="4" t="str">
        <f t="shared" si="2"/>
        <v>Foundation for Individual Liberty_State Policy Network2017</v>
      </c>
      <c r="C556" s="4" t="str">
        <f ca="1">IFERROR(__xludf.DUMMYFUNCTION("ARRAY_CONSTRAIN(ARRAYFORMULA(SINGLE(TEXTJOIN(""_"",TRUE,D556,G556))), 1, 1)"),"Foundation for Individual Liberty_2017")</f>
        <v>Foundation for Individual Liberty_2017</v>
      </c>
      <c r="D556" s="4" t="s">
        <v>64</v>
      </c>
      <c r="E556" s="8" t="s">
        <v>46</v>
      </c>
      <c r="F556" s="6"/>
      <c r="G556" s="4">
        <v>2017</v>
      </c>
      <c r="H556" s="4" t="s">
        <v>361</v>
      </c>
      <c r="I556" s="4" t="s">
        <v>487</v>
      </c>
    </row>
    <row r="557" spans="1:9" ht="15.75" customHeight="1" x14ac:dyDescent="0.2">
      <c r="A557" s="4">
        <v>990</v>
      </c>
      <c r="B557" s="4" t="str">
        <f t="shared" si="2"/>
        <v>Foundation for Individual Liberty_State Policy Network201610000</v>
      </c>
      <c r="C557" s="4" t="str">
        <f ca="1">IFERROR(__xludf.DUMMYFUNCTION("ARRAY_CONSTRAIN(ARRAYFORMULA(SINGLE(TEXTJOIN(""_"",TRUE,D557,G557))), 1, 1)"),"Foundation for Individual Liberty_2016")</f>
        <v>Foundation for Individual Liberty_2016</v>
      </c>
      <c r="D557" s="4" t="s">
        <v>64</v>
      </c>
      <c r="E557" s="8" t="s">
        <v>46</v>
      </c>
      <c r="F557" s="6">
        <v>10000</v>
      </c>
      <c r="G557" s="4">
        <v>2016</v>
      </c>
      <c r="H557" s="4" t="s">
        <v>361</v>
      </c>
    </row>
    <row r="558" spans="1:9" ht="15.75" customHeight="1" x14ac:dyDescent="0.2">
      <c r="A558" s="4">
        <v>990</v>
      </c>
      <c r="B558" s="4" t="str">
        <f t="shared" si="2"/>
        <v>Foundation for Individual Liberty_State Policy Network20155000</v>
      </c>
      <c r="C558" s="4" t="str">
        <f ca="1">IFERROR(__xludf.DUMMYFUNCTION("ARRAY_CONSTRAIN(ARRAYFORMULA(SINGLE(TEXTJOIN(""_"",TRUE,D558,G558))), 1, 1)"),"Foundation for Individual Liberty_2015")</f>
        <v>Foundation for Individual Liberty_2015</v>
      </c>
      <c r="D558" s="4" t="s">
        <v>64</v>
      </c>
      <c r="E558" s="8" t="s">
        <v>46</v>
      </c>
      <c r="F558" s="6">
        <v>5000</v>
      </c>
      <c r="G558" s="4">
        <v>2015</v>
      </c>
      <c r="H558" s="4" t="s">
        <v>361</v>
      </c>
    </row>
    <row r="559" spans="1:9" ht="15.75" customHeight="1" x14ac:dyDescent="0.2">
      <c r="A559" s="4">
        <v>990</v>
      </c>
      <c r="B559" s="4" t="str">
        <f t="shared" si="2"/>
        <v>Foundation for Individual Liberty_State Policy Network20145000</v>
      </c>
      <c r="C559" s="4" t="str">
        <f ca="1">IFERROR(__xludf.DUMMYFUNCTION("ARRAY_CONSTRAIN(ARRAYFORMULA(SINGLE(TEXTJOIN(""_"",TRUE,D559,G559))), 1, 1)"),"Foundation for Individual Liberty_2014")</f>
        <v>Foundation for Individual Liberty_2014</v>
      </c>
      <c r="D559" s="4" t="s">
        <v>64</v>
      </c>
      <c r="E559" s="8" t="s">
        <v>46</v>
      </c>
      <c r="F559" s="6">
        <v>5000</v>
      </c>
      <c r="G559" s="4">
        <v>2014</v>
      </c>
      <c r="H559" s="4" t="s">
        <v>361</v>
      </c>
    </row>
    <row r="560" spans="1:9" ht="15.75" customHeight="1" x14ac:dyDescent="0.2">
      <c r="A560" s="4">
        <v>990</v>
      </c>
      <c r="B560" s="4" t="str">
        <f t="shared" si="2"/>
        <v>Frank B and Virginia V Fehsenfeld Charitable Foundation_State Policy Network20171000</v>
      </c>
      <c r="C560" s="4" t="str">
        <f ca="1">IFERROR(__xludf.DUMMYFUNCTION("ARRAY_CONSTRAIN(ARRAYFORMULA(SINGLE(TEXTJOIN(""_"",TRUE,D560,G560))), 1, 1)"),"Frank B and Virginia V Fehsenfeld Charitable Foundation_2017")</f>
        <v>Frank B and Virginia V Fehsenfeld Charitable Foundation_2017</v>
      </c>
      <c r="D560" s="4" t="s">
        <v>158</v>
      </c>
      <c r="E560" s="8" t="s">
        <v>46</v>
      </c>
      <c r="F560" s="6">
        <v>1000</v>
      </c>
      <c r="G560" s="4">
        <v>2017</v>
      </c>
      <c r="H560" s="4" t="s">
        <v>361</v>
      </c>
    </row>
    <row r="561" spans="1:8" ht="15.75" customHeight="1" x14ac:dyDescent="0.2">
      <c r="A561" s="4">
        <v>990</v>
      </c>
      <c r="B561" s="4" t="str">
        <f t="shared" si="2"/>
        <v>Frank B and Virginia V Fehsenfeld Charitable Foundation_State Policy Network20161000</v>
      </c>
      <c r="C561" s="4" t="str">
        <f ca="1">IFERROR(__xludf.DUMMYFUNCTION("ARRAY_CONSTRAIN(ARRAYFORMULA(SINGLE(TEXTJOIN(""_"",TRUE,D561,G561))), 1, 1)"),"Frank B and Virginia V Fehsenfeld Charitable Foundation_2016")</f>
        <v>Frank B and Virginia V Fehsenfeld Charitable Foundation_2016</v>
      </c>
      <c r="D561" s="4" t="s">
        <v>158</v>
      </c>
      <c r="E561" s="8" t="s">
        <v>46</v>
      </c>
      <c r="F561" s="6">
        <v>1000</v>
      </c>
      <c r="G561" s="4">
        <v>2016</v>
      </c>
      <c r="H561" s="4" t="s">
        <v>361</v>
      </c>
    </row>
    <row r="562" spans="1:8" ht="15.75" customHeight="1" x14ac:dyDescent="0.2">
      <c r="A562" s="4">
        <v>990</v>
      </c>
      <c r="B562" s="4" t="str">
        <f t="shared" si="2"/>
        <v>Frank B and Virginia V Fehsenfeld Charitable Foundation_State Policy Network20151000</v>
      </c>
      <c r="C562" s="4" t="str">
        <f ca="1">IFERROR(__xludf.DUMMYFUNCTION("ARRAY_CONSTRAIN(ARRAYFORMULA(SINGLE(TEXTJOIN(""_"",TRUE,D562,G562))), 1, 1)"),"Frank B and Virginia V Fehsenfeld Charitable Foundation_2015")</f>
        <v>Frank B and Virginia V Fehsenfeld Charitable Foundation_2015</v>
      </c>
      <c r="D562" s="4" t="s">
        <v>158</v>
      </c>
      <c r="E562" s="8" t="s">
        <v>46</v>
      </c>
      <c r="F562" s="6">
        <v>1000</v>
      </c>
      <c r="G562" s="4">
        <v>2015</v>
      </c>
      <c r="H562" s="4" t="s">
        <v>361</v>
      </c>
    </row>
    <row r="563" spans="1:8" ht="15.75" customHeight="1" x14ac:dyDescent="0.2">
      <c r="A563" s="4" t="s">
        <v>488</v>
      </c>
      <c r="B563" s="4" t="str">
        <f t="shared" si="2"/>
        <v>Frankel Family Charitable Trust_State Policy Network20211000</v>
      </c>
      <c r="C563" s="4" t="str">
        <f ca="1">IFERROR(__xludf.DUMMYFUNCTION("ARRAY_CONSTRAIN(ARRAYFORMULA(SINGLE(TEXTJOIN(""_"",TRUE,D563,G563))), 1, 1)"),"Frankel Family Charitable Trust_2021")</f>
        <v>Frankel Family Charitable Trust_2021</v>
      </c>
      <c r="D563" s="4" t="s">
        <v>134</v>
      </c>
      <c r="E563" s="8" t="s">
        <v>46</v>
      </c>
      <c r="F563" s="6">
        <v>1000</v>
      </c>
      <c r="G563" s="4">
        <v>2021</v>
      </c>
      <c r="H563" s="4" t="s">
        <v>361</v>
      </c>
    </row>
    <row r="564" spans="1:8" ht="15.75" customHeight="1" x14ac:dyDescent="0.2">
      <c r="A564" s="4" t="s">
        <v>489</v>
      </c>
      <c r="B564" s="4" t="str">
        <f t="shared" si="2"/>
        <v>Frankel Family Charitable Trust_State Policy Network20202000</v>
      </c>
      <c r="C564" s="4" t="str">
        <f ca="1">IFERROR(__xludf.DUMMYFUNCTION("ARRAY_CONSTRAIN(ARRAYFORMULA(SINGLE(TEXTJOIN(""_"",TRUE,D564,G564))), 1, 1)"),"Frankel Family Charitable Trust_2020")</f>
        <v>Frankel Family Charitable Trust_2020</v>
      </c>
      <c r="D564" s="4" t="s">
        <v>134</v>
      </c>
      <c r="E564" s="8" t="s">
        <v>46</v>
      </c>
      <c r="F564" s="6">
        <v>2000</v>
      </c>
      <c r="G564" s="4">
        <v>2020</v>
      </c>
      <c r="H564" s="4" t="s">
        <v>361</v>
      </c>
    </row>
    <row r="565" spans="1:8" ht="15.75" customHeight="1" x14ac:dyDescent="0.2">
      <c r="A565" s="4" t="s">
        <v>490</v>
      </c>
      <c r="B565" s="4" t="str">
        <f t="shared" si="2"/>
        <v>Frankel Family Charitable Trust_State Policy Network20192000</v>
      </c>
      <c r="C565" s="4" t="str">
        <f ca="1">IFERROR(__xludf.DUMMYFUNCTION("ARRAY_CONSTRAIN(ARRAYFORMULA(SINGLE(TEXTJOIN(""_"",TRUE,D565,G565))), 1, 1)"),"Frankel Family Charitable Trust_2019")</f>
        <v>Frankel Family Charitable Trust_2019</v>
      </c>
      <c r="D565" s="4" t="s">
        <v>134</v>
      </c>
      <c r="E565" s="8" t="s">
        <v>46</v>
      </c>
      <c r="F565" s="6">
        <v>2000</v>
      </c>
      <c r="G565" s="4">
        <v>2019</v>
      </c>
      <c r="H565" s="4" t="s">
        <v>361</v>
      </c>
    </row>
    <row r="566" spans="1:8" ht="15.75" customHeight="1" x14ac:dyDescent="0.2">
      <c r="A566" s="4" t="s">
        <v>491</v>
      </c>
      <c r="B566" s="4" t="str">
        <f t="shared" si="2"/>
        <v>Frankel Family Charitable Trust_State Policy Network20182000</v>
      </c>
      <c r="C566" s="4" t="str">
        <f ca="1">IFERROR(__xludf.DUMMYFUNCTION("ARRAY_CONSTRAIN(ARRAYFORMULA(SINGLE(TEXTJOIN(""_"",TRUE,D566,G566))), 1, 1)"),"Frankel Family Charitable Trust_2018")</f>
        <v>Frankel Family Charitable Trust_2018</v>
      </c>
      <c r="D566" s="4" t="s">
        <v>134</v>
      </c>
      <c r="E566" s="8" t="s">
        <v>46</v>
      </c>
      <c r="F566" s="6">
        <v>2000</v>
      </c>
      <c r="G566" s="4">
        <v>2018</v>
      </c>
      <c r="H566" s="4" t="s">
        <v>361</v>
      </c>
    </row>
    <row r="567" spans="1:8" ht="15.75" customHeight="1" x14ac:dyDescent="0.2">
      <c r="A567" s="4" t="s">
        <v>492</v>
      </c>
      <c r="B567" s="4" t="str">
        <f t="shared" si="2"/>
        <v>Frankel Family Charitable Trust_State Policy Network20171000</v>
      </c>
      <c r="C567" s="4" t="str">
        <f ca="1">IFERROR(__xludf.DUMMYFUNCTION("ARRAY_CONSTRAIN(ARRAYFORMULA(SINGLE(TEXTJOIN(""_"",TRUE,D567,G567))), 1, 1)"),"Frankel Family Charitable Trust_2017")</f>
        <v>Frankel Family Charitable Trust_2017</v>
      </c>
      <c r="D567" s="4" t="s">
        <v>134</v>
      </c>
      <c r="E567" s="8" t="s">
        <v>46</v>
      </c>
      <c r="F567" s="6">
        <v>1000</v>
      </c>
      <c r="G567" s="4">
        <v>2017</v>
      </c>
      <c r="H567" s="4" t="s">
        <v>361</v>
      </c>
    </row>
    <row r="568" spans="1:8" ht="15.75" customHeight="1" x14ac:dyDescent="0.2">
      <c r="A568" s="4" t="s">
        <v>493</v>
      </c>
      <c r="B568" s="4" t="str">
        <f t="shared" si="2"/>
        <v>Fred A Lennon Charitable Trust_State Policy Network202110000</v>
      </c>
      <c r="C568" s="4" t="str">
        <f ca="1">IFERROR(__xludf.DUMMYFUNCTION("ARRAY_CONSTRAIN(ARRAYFORMULA(SINGLE(TEXTJOIN(""_"",TRUE,D568,G568))), 1, 1)"),"Fred A Lennon Charitable Trust_2021")</f>
        <v>Fred A Lennon Charitable Trust_2021</v>
      </c>
      <c r="D568" s="4" t="s">
        <v>85</v>
      </c>
      <c r="E568" s="8" t="s">
        <v>46</v>
      </c>
      <c r="F568" s="6">
        <v>10000</v>
      </c>
      <c r="G568" s="4">
        <v>2021</v>
      </c>
      <c r="H568" s="4" t="s">
        <v>361</v>
      </c>
    </row>
    <row r="569" spans="1:8" ht="15.75" customHeight="1" x14ac:dyDescent="0.2">
      <c r="A569" s="4" t="s">
        <v>494</v>
      </c>
      <c r="B569" s="4" t="str">
        <f t="shared" si="2"/>
        <v>Fred A Lennon Charitable Trust_State Policy Network202010000</v>
      </c>
      <c r="C569" s="4" t="str">
        <f ca="1">IFERROR(__xludf.DUMMYFUNCTION("ARRAY_CONSTRAIN(ARRAYFORMULA(SINGLE(TEXTJOIN(""_"",TRUE,D569,G569))), 1, 1)"),"Fred A Lennon Charitable Trust_2020")</f>
        <v>Fred A Lennon Charitable Trust_2020</v>
      </c>
      <c r="D569" s="4" t="s">
        <v>85</v>
      </c>
      <c r="E569" s="8" t="s">
        <v>46</v>
      </c>
      <c r="F569" s="6">
        <v>10000</v>
      </c>
      <c r="G569" s="4">
        <v>2020</v>
      </c>
      <c r="H569" s="4" t="s">
        <v>361</v>
      </c>
    </row>
    <row r="570" spans="1:8" ht="15.75" customHeight="1" x14ac:dyDescent="0.2">
      <c r="A570" s="4" t="s">
        <v>495</v>
      </c>
      <c r="B570" s="4" t="str">
        <f t="shared" si="2"/>
        <v>Fred A Lennon Charitable Trust_State Policy Network20135000</v>
      </c>
      <c r="C570" s="4" t="str">
        <f ca="1">IFERROR(__xludf.DUMMYFUNCTION("ARRAY_CONSTRAIN(ARRAYFORMULA(SINGLE(TEXTJOIN(""_"",TRUE,D570,G570))), 1, 1)"),"Fred A Lennon Charitable Trust_2013")</f>
        <v>Fred A Lennon Charitable Trust_2013</v>
      </c>
      <c r="D570" s="4" t="s">
        <v>85</v>
      </c>
      <c r="E570" s="8" t="s">
        <v>46</v>
      </c>
      <c r="F570" s="6">
        <v>5000</v>
      </c>
      <c r="G570" s="4">
        <v>2013</v>
      </c>
      <c r="H570" s="4" t="s">
        <v>361</v>
      </c>
    </row>
    <row r="571" spans="1:8" ht="15.75" customHeight="1" x14ac:dyDescent="0.2">
      <c r="A571" s="4" t="s">
        <v>496</v>
      </c>
      <c r="B571" s="4" t="str">
        <f t="shared" si="2"/>
        <v>Fred A Lennon Charitable Trust_State Policy Network20125000</v>
      </c>
      <c r="C571" s="4" t="str">
        <f ca="1">IFERROR(__xludf.DUMMYFUNCTION("ARRAY_CONSTRAIN(ARRAYFORMULA(SINGLE(TEXTJOIN(""_"",TRUE,D571,G571))), 1, 1)"),"Fred A Lennon Charitable Trust_2012")</f>
        <v>Fred A Lennon Charitable Trust_2012</v>
      </c>
      <c r="D571" s="4" t="s">
        <v>85</v>
      </c>
      <c r="E571" s="8" t="s">
        <v>46</v>
      </c>
      <c r="F571" s="6">
        <v>5000</v>
      </c>
      <c r="G571" s="4">
        <v>2012</v>
      </c>
      <c r="H571" s="4" t="s">
        <v>361</v>
      </c>
    </row>
    <row r="572" spans="1:8" ht="15.75" customHeight="1" x14ac:dyDescent="0.2">
      <c r="A572" s="4" t="s">
        <v>497</v>
      </c>
      <c r="B572" s="4" t="str">
        <f t="shared" si="2"/>
        <v>Fred and Gertrude Perlberg Foundation_State Policy Network2015100</v>
      </c>
      <c r="C572" s="4" t="str">
        <f ca="1">IFERROR(__xludf.DUMMYFUNCTION("ARRAY_CONSTRAIN(ARRAYFORMULA(SINGLE(TEXTJOIN(""_"",TRUE,D572,G572))), 1, 1)"),"Fred and Gertrude Perlberg Foundation_2015")</f>
        <v>Fred and Gertrude Perlberg Foundation_2015</v>
      </c>
      <c r="D572" s="4" t="s">
        <v>228</v>
      </c>
      <c r="E572" s="8" t="s">
        <v>46</v>
      </c>
      <c r="F572" s="6">
        <v>100</v>
      </c>
      <c r="G572" s="4">
        <v>2015</v>
      </c>
      <c r="H572" s="4" t="s">
        <v>361</v>
      </c>
    </row>
    <row r="573" spans="1:8" ht="15.75" customHeight="1" x14ac:dyDescent="0.2">
      <c r="A573" s="4" t="s">
        <v>368</v>
      </c>
      <c r="B573" s="4" t="str">
        <f t="shared" si="2"/>
        <v>Friedman Foundation For Educational Choice_State Policy Network200210000</v>
      </c>
      <c r="C573" s="4" t="str">
        <f ca="1">IFERROR(__xludf.DUMMYFUNCTION("ARRAY_CONSTRAIN(ARRAYFORMULA(SINGLE(TEXTJOIN(""_"",TRUE,D573,G573))), 1, 1)"),"Friedman Foundation For Educational Choice_2002")</f>
        <v>Friedman Foundation For Educational Choice_2002</v>
      </c>
      <c r="D573" s="4" t="s">
        <v>129</v>
      </c>
      <c r="E573" s="8" t="s">
        <v>46</v>
      </c>
      <c r="F573" s="6">
        <v>10000</v>
      </c>
      <c r="G573" s="4">
        <v>2002</v>
      </c>
    </row>
    <row r="574" spans="1:8" ht="15.75" customHeight="1" x14ac:dyDescent="0.2">
      <c r="A574" s="4" t="s">
        <v>498</v>
      </c>
      <c r="B574" s="4" t="str">
        <f t="shared" si="2"/>
        <v>G A F Foundation_State Policy Network2011500</v>
      </c>
      <c r="C574" s="4" t="str">
        <f ca="1">IFERROR(__xludf.DUMMYFUNCTION("ARRAY_CONSTRAIN(ARRAYFORMULA(SINGLE(TEXTJOIN(""_"",TRUE,D574,G574))), 1, 1)"),"G A F Foundation_2011")</f>
        <v>G A F Foundation_2011</v>
      </c>
      <c r="D574" s="4" t="s">
        <v>201</v>
      </c>
      <c r="E574" s="8" t="s">
        <v>46</v>
      </c>
      <c r="F574" s="6">
        <v>500</v>
      </c>
      <c r="G574" s="4">
        <v>2011</v>
      </c>
      <c r="H574" s="4" t="s">
        <v>361</v>
      </c>
    </row>
    <row r="575" spans="1:8" ht="15.75" customHeight="1" x14ac:dyDescent="0.2">
      <c r="A575" s="4" t="s">
        <v>499</v>
      </c>
      <c r="B575" s="4" t="str">
        <f t="shared" si="2"/>
        <v>Galkin Private Foundation_State Policy Network20182000</v>
      </c>
      <c r="C575" s="4" t="str">
        <f ca="1">IFERROR(__xludf.DUMMYFUNCTION("ARRAY_CONSTRAIN(ARRAYFORMULA(SINGLE(TEXTJOIN(""_"",TRUE,D575,G575))), 1, 1)"),"Galkin Private Foundation_2018")</f>
        <v>Galkin Private Foundation_2018</v>
      </c>
      <c r="D575" s="4" t="s">
        <v>167</v>
      </c>
      <c r="E575" s="8" t="s">
        <v>46</v>
      </c>
      <c r="F575" s="6">
        <v>2000</v>
      </c>
      <c r="G575" s="4">
        <v>2018</v>
      </c>
      <c r="H575" s="4" t="s">
        <v>361</v>
      </c>
    </row>
    <row r="576" spans="1:8" ht="15.75" customHeight="1" x14ac:dyDescent="0.2">
      <c r="A576" s="4">
        <v>990</v>
      </c>
      <c r="B576" s="4" t="str">
        <f t="shared" si="2"/>
        <v>Garvey Kansas Foundation_State Policy Network20215000</v>
      </c>
      <c r="C576" s="4" t="str">
        <f ca="1">IFERROR(__xludf.DUMMYFUNCTION("ARRAY_CONSTRAIN(ARRAYFORMULA(SINGLE(TEXTJOIN(""_"",TRUE,D576,G576))), 1, 1)"),"Garvey Kansas Foundation_2021")</f>
        <v>Garvey Kansas Foundation_2021</v>
      </c>
      <c r="D576" s="4" t="s">
        <v>103</v>
      </c>
      <c r="E576" s="8" t="s">
        <v>46</v>
      </c>
      <c r="F576" s="6">
        <v>5000</v>
      </c>
      <c r="G576" s="4">
        <v>2021</v>
      </c>
      <c r="H576" s="4" t="s">
        <v>361</v>
      </c>
    </row>
    <row r="577" spans="1:8" ht="15.75" customHeight="1" x14ac:dyDescent="0.2">
      <c r="A577" s="4">
        <v>990</v>
      </c>
      <c r="B577" s="4" t="str">
        <f t="shared" si="2"/>
        <v>Garvey Kansas Foundation_State Policy Network20202000</v>
      </c>
      <c r="C577" s="4" t="str">
        <f ca="1">IFERROR(__xludf.DUMMYFUNCTION("ARRAY_CONSTRAIN(ARRAYFORMULA(SINGLE(TEXTJOIN(""_"",TRUE,D577,G577))), 1, 1)"),"Garvey Kansas Foundation_2020")</f>
        <v>Garvey Kansas Foundation_2020</v>
      </c>
      <c r="D577" s="4" t="s">
        <v>103</v>
      </c>
      <c r="E577" s="8" t="s">
        <v>46</v>
      </c>
      <c r="F577" s="6">
        <v>2000</v>
      </c>
      <c r="G577" s="4">
        <v>2020</v>
      </c>
      <c r="H577" s="4" t="s">
        <v>361</v>
      </c>
    </row>
    <row r="578" spans="1:8" ht="15.75" customHeight="1" x14ac:dyDescent="0.2">
      <c r="A578" s="4">
        <v>990</v>
      </c>
      <c r="B578" s="4" t="str">
        <f t="shared" si="2"/>
        <v>Garvey Kansas Foundation_State Policy Network20192000</v>
      </c>
      <c r="C578" s="4" t="str">
        <f ca="1">IFERROR(__xludf.DUMMYFUNCTION("ARRAY_CONSTRAIN(ARRAYFORMULA(SINGLE(TEXTJOIN(""_"",TRUE,D578,G578))), 1, 1)"),"Garvey Kansas Foundation_2019")</f>
        <v>Garvey Kansas Foundation_2019</v>
      </c>
      <c r="D578" s="4" t="s">
        <v>103</v>
      </c>
      <c r="E578" s="8" t="s">
        <v>46</v>
      </c>
      <c r="F578" s="6">
        <v>2000</v>
      </c>
      <c r="G578" s="4">
        <v>2019</v>
      </c>
      <c r="H578" s="4" t="s">
        <v>361</v>
      </c>
    </row>
    <row r="579" spans="1:8" ht="15.75" customHeight="1" x14ac:dyDescent="0.2">
      <c r="A579" s="4">
        <v>990</v>
      </c>
      <c r="B579" s="4" t="str">
        <f t="shared" si="2"/>
        <v>Garvey Kansas Foundation_State Policy Network20186000</v>
      </c>
      <c r="C579" s="4" t="str">
        <f ca="1">IFERROR(__xludf.DUMMYFUNCTION("ARRAY_CONSTRAIN(ARRAYFORMULA(SINGLE(TEXTJOIN(""_"",TRUE,D579,G579))), 1, 1)"),"Garvey Kansas Foundation_2018")</f>
        <v>Garvey Kansas Foundation_2018</v>
      </c>
      <c r="D579" s="4" t="s">
        <v>103</v>
      </c>
      <c r="E579" s="8" t="s">
        <v>46</v>
      </c>
      <c r="F579" s="6">
        <v>6000</v>
      </c>
      <c r="G579" s="4">
        <v>2018</v>
      </c>
      <c r="H579" s="4" t="s">
        <v>361</v>
      </c>
    </row>
    <row r="580" spans="1:8" ht="15.75" customHeight="1" x14ac:dyDescent="0.2">
      <c r="A580" s="4">
        <v>990</v>
      </c>
      <c r="B580" s="4" t="str">
        <f t="shared" si="2"/>
        <v>Garvey Kansas Foundation_State Policy Network20171000</v>
      </c>
      <c r="C580" s="4" t="str">
        <f ca="1">IFERROR(__xludf.DUMMYFUNCTION("ARRAY_CONSTRAIN(ARRAYFORMULA(SINGLE(TEXTJOIN(""_"",TRUE,D580,G580))), 1, 1)"),"Garvey Kansas Foundation_2017")</f>
        <v>Garvey Kansas Foundation_2017</v>
      </c>
      <c r="D580" s="4" t="s">
        <v>103</v>
      </c>
      <c r="E580" s="8" t="s">
        <v>46</v>
      </c>
      <c r="F580" s="6">
        <v>1000</v>
      </c>
      <c r="G580" s="4">
        <v>2017</v>
      </c>
      <c r="H580" s="4" t="s">
        <v>361</v>
      </c>
    </row>
    <row r="581" spans="1:8" ht="15.75" customHeight="1" x14ac:dyDescent="0.2">
      <c r="A581" s="4">
        <v>990</v>
      </c>
      <c r="B581" s="4" t="str">
        <f t="shared" si="2"/>
        <v>Garvey Kansas Foundation_State Policy Network20161000</v>
      </c>
      <c r="C581" s="4" t="str">
        <f ca="1">IFERROR(__xludf.DUMMYFUNCTION("ARRAY_CONSTRAIN(ARRAYFORMULA(SINGLE(TEXTJOIN(""_"",TRUE,D581,G581))), 1, 1)"),"Garvey Kansas Foundation_2016")</f>
        <v>Garvey Kansas Foundation_2016</v>
      </c>
      <c r="D581" s="4" t="s">
        <v>103</v>
      </c>
      <c r="E581" s="8" t="s">
        <v>46</v>
      </c>
      <c r="F581" s="6">
        <v>1000</v>
      </c>
      <c r="G581" s="4">
        <v>2016</v>
      </c>
      <c r="H581" s="4" t="s">
        <v>361</v>
      </c>
    </row>
    <row r="582" spans="1:8" ht="15.75" customHeight="1" x14ac:dyDescent="0.2">
      <c r="A582" s="4">
        <v>990</v>
      </c>
      <c r="B582" s="4" t="str">
        <f t="shared" si="2"/>
        <v>Garvey Kansas Foundation_State Policy Network2015200</v>
      </c>
      <c r="C582" s="4" t="str">
        <f ca="1">IFERROR(__xludf.DUMMYFUNCTION("ARRAY_CONSTRAIN(ARRAYFORMULA(SINGLE(TEXTJOIN(""_"",TRUE,D582,G582))), 1, 1)"),"Garvey Kansas Foundation_2015")</f>
        <v>Garvey Kansas Foundation_2015</v>
      </c>
      <c r="D582" s="4" t="s">
        <v>103</v>
      </c>
      <c r="E582" s="8" t="s">
        <v>46</v>
      </c>
      <c r="F582" s="6">
        <v>200</v>
      </c>
      <c r="G582" s="4">
        <v>2015</v>
      </c>
      <c r="H582" s="4" t="s">
        <v>361</v>
      </c>
    </row>
    <row r="583" spans="1:8" ht="15.75" customHeight="1" x14ac:dyDescent="0.2">
      <c r="A583" s="4">
        <v>990</v>
      </c>
      <c r="B583" s="4" t="str">
        <f t="shared" si="2"/>
        <v>Garvey Kansas Foundation_State Policy Network2014200</v>
      </c>
      <c r="C583" s="4" t="str">
        <f ca="1">IFERROR(__xludf.DUMMYFUNCTION("ARRAY_CONSTRAIN(ARRAYFORMULA(SINGLE(TEXTJOIN(""_"",TRUE,D583,G583))), 1, 1)"),"Garvey Kansas Foundation_2014")</f>
        <v>Garvey Kansas Foundation_2014</v>
      </c>
      <c r="D583" s="4" t="s">
        <v>103</v>
      </c>
      <c r="E583" s="8" t="s">
        <v>46</v>
      </c>
      <c r="F583" s="6">
        <v>200</v>
      </c>
      <c r="G583" s="4">
        <v>2014</v>
      </c>
      <c r="H583" s="4" t="s">
        <v>361</v>
      </c>
    </row>
    <row r="584" spans="1:8" ht="15.75" customHeight="1" x14ac:dyDescent="0.2">
      <c r="A584" s="4">
        <v>990</v>
      </c>
      <c r="B584" s="4" t="str">
        <f t="shared" si="2"/>
        <v>Garvey Kansas Foundation_State Policy Network2013200</v>
      </c>
      <c r="C584" s="4" t="str">
        <f ca="1">IFERROR(__xludf.DUMMYFUNCTION("ARRAY_CONSTRAIN(ARRAYFORMULA(SINGLE(TEXTJOIN(""_"",TRUE,D584,G584))), 1, 1)"),"Garvey Kansas Foundation_2013")</f>
        <v>Garvey Kansas Foundation_2013</v>
      </c>
      <c r="D584" s="4" t="s">
        <v>103</v>
      </c>
      <c r="E584" s="8" t="s">
        <v>46</v>
      </c>
      <c r="F584" s="6">
        <v>200</v>
      </c>
      <c r="G584" s="4">
        <v>2013</v>
      </c>
      <c r="H584" s="4" t="s">
        <v>361</v>
      </c>
    </row>
    <row r="585" spans="1:8" ht="15.75" customHeight="1" x14ac:dyDescent="0.2">
      <c r="A585" s="4">
        <v>990</v>
      </c>
      <c r="B585" s="4" t="str">
        <f t="shared" si="2"/>
        <v>Garvey Kansas Foundation_State Policy Network2012200</v>
      </c>
      <c r="C585" s="4" t="str">
        <f ca="1">IFERROR(__xludf.DUMMYFUNCTION("ARRAY_CONSTRAIN(ARRAYFORMULA(SINGLE(TEXTJOIN(""_"",TRUE,D585,G585))), 1, 1)"),"Garvey Kansas Foundation_2012")</f>
        <v>Garvey Kansas Foundation_2012</v>
      </c>
      <c r="D585" s="4" t="s">
        <v>103</v>
      </c>
      <c r="E585" s="8" t="s">
        <v>46</v>
      </c>
      <c r="F585" s="6">
        <v>200</v>
      </c>
      <c r="G585" s="4">
        <v>2012</v>
      </c>
      <c r="H585" s="4" t="s">
        <v>361</v>
      </c>
    </row>
    <row r="586" spans="1:8" ht="15.75" customHeight="1" x14ac:dyDescent="0.2">
      <c r="A586" s="4">
        <v>990</v>
      </c>
      <c r="B586" s="4" t="str">
        <f t="shared" si="2"/>
        <v>Garvey Kansas Foundation_State Policy Network2011200</v>
      </c>
      <c r="C586" s="4" t="str">
        <f ca="1">IFERROR(__xludf.DUMMYFUNCTION("ARRAY_CONSTRAIN(ARRAYFORMULA(SINGLE(TEXTJOIN(""_"",TRUE,D586,G586))), 1, 1)"),"Garvey Kansas Foundation_2011")</f>
        <v>Garvey Kansas Foundation_2011</v>
      </c>
      <c r="D586" s="4" t="s">
        <v>103</v>
      </c>
      <c r="E586" s="8" t="s">
        <v>46</v>
      </c>
      <c r="F586" s="6">
        <v>200</v>
      </c>
      <c r="G586" s="4">
        <v>2011</v>
      </c>
      <c r="H586" s="4" t="s">
        <v>361</v>
      </c>
    </row>
    <row r="587" spans="1:8" ht="15.75" customHeight="1" x14ac:dyDescent="0.2">
      <c r="A587" s="4">
        <v>990</v>
      </c>
      <c r="B587" s="4" t="str">
        <f t="shared" si="2"/>
        <v>Garvey Kansas Foundation_State Policy Network2010200</v>
      </c>
      <c r="C587" s="4" t="str">
        <f ca="1">IFERROR(__xludf.DUMMYFUNCTION("ARRAY_CONSTRAIN(ARRAYFORMULA(SINGLE(TEXTJOIN(""_"",TRUE,D587,G587))), 1, 1)"),"Garvey Kansas Foundation_2010")</f>
        <v>Garvey Kansas Foundation_2010</v>
      </c>
      <c r="D587" s="4" t="s">
        <v>103</v>
      </c>
      <c r="E587" s="8" t="s">
        <v>46</v>
      </c>
      <c r="F587" s="6">
        <v>200</v>
      </c>
      <c r="G587" s="4">
        <v>2010</v>
      </c>
      <c r="H587" s="4" t="s">
        <v>361</v>
      </c>
    </row>
    <row r="588" spans="1:8" ht="15.75" customHeight="1" x14ac:dyDescent="0.2">
      <c r="A588" s="4">
        <v>990</v>
      </c>
      <c r="B588" s="4" t="str">
        <f t="shared" si="2"/>
        <v>Garvey Kansas Foundation_State Policy Network2009100</v>
      </c>
      <c r="C588" s="4" t="str">
        <f ca="1">IFERROR(__xludf.DUMMYFUNCTION("ARRAY_CONSTRAIN(ARRAYFORMULA(SINGLE(TEXTJOIN(""_"",TRUE,D588,G588))), 1, 1)"),"Garvey Kansas Foundation_2009")</f>
        <v>Garvey Kansas Foundation_2009</v>
      </c>
      <c r="D588" s="4" t="s">
        <v>103</v>
      </c>
      <c r="E588" s="8" t="s">
        <v>46</v>
      </c>
      <c r="F588" s="6">
        <v>100</v>
      </c>
      <c r="G588" s="4">
        <v>2009</v>
      </c>
      <c r="H588" s="4" t="s">
        <v>361</v>
      </c>
    </row>
    <row r="589" spans="1:8" ht="15.75" customHeight="1" x14ac:dyDescent="0.2">
      <c r="A589" s="4">
        <v>990</v>
      </c>
      <c r="B589" s="4" t="str">
        <f t="shared" si="2"/>
        <v>Garvey Kansas Foundation_State Policy Network2008100</v>
      </c>
      <c r="C589" s="4" t="str">
        <f ca="1">IFERROR(__xludf.DUMMYFUNCTION("ARRAY_CONSTRAIN(ARRAYFORMULA(SINGLE(TEXTJOIN(""_"",TRUE,D589,G589))), 1, 1)"),"Garvey Kansas Foundation_2008")</f>
        <v>Garvey Kansas Foundation_2008</v>
      </c>
      <c r="D589" s="4" t="s">
        <v>103</v>
      </c>
      <c r="E589" s="8" t="s">
        <v>46</v>
      </c>
      <c r="F589" s="6">
        <v>100</v>
      </c>
      <c r="G589" s="4">
        <v>2008</v>
      </c>
      <c r="H589" s="4" t="s">
        <v>361</v>
      </c>
    </row>
    <row r="590" spans="1:8" ht="15.75" customHeight="1" x14ac:dyDescent="0.2">
      <c r="A590" s="4">
        <v>990</v>
      </c>
      <c r="B590" s="4" t="str">
        <f t="shared" si="2"/>
        <v>Garvey Kansas Foundation_State Policy Network2007100</v>
      </c>
      <c r="C590" s="4" t="str">
        <f ca="1">IFERROR(__xludf.DUMMYFUNCTION("ARRAY_CONSTRAIN(ARRAYFORMULA(SINGLE(TEXTJOIN(""_"",TRUE,D590,G590))), 1, 1)"),"Garvey Kansas Foundation_2007")</f>
        <v>Garvey Kansas Foundation_2007</v>
      </c>
      <c r="D590" s="4" t="s">
        <v>103</v>
      </c>
      <c r="E590" s="8" t="s">
        <v>46</v>
      </c>
      <c r="F590" s="6">
        <v>100</v>
      </c>
      <c r="G590" s="4">
        <v>2007</v>
      </c>
      <c r="H590" s="4" t="s">
        <v>361</v>
      </c>
    </row>
    <row r="591" spans="1:8" ht="15.75" customHeight="1" x14ac:dyDescent="0.2">
      <c r="A591" s="4" t="s">
        <v>500</v>
      </c>
      <c r="B591" s="4" t="str">
        <f t="shared" si="2"/>
        <v>Ge Foundation_State Policy Network2020525</v>
      </c>
      <c r="C591" s="4" t="str">
        <f ca="1">IFERROR(__xludf.DUMMYFUNCTION("ARRAY_CONSTRAIN(ARRAYFORMULA(SINGLE(TEXTJOIN(""_"",TRUE,D591,G591))), 1, 1)"),"Ge Foundation_2020")</f>
        <v>Ge Foundation_2020</v>
      </c>
      <c r="D591" s="4" t="s">
        <v>195</v>
      </c>
      <c r="E591" s="8" t="s">
        <v>46</v>
      </c>
      <c r="F591" s="6">
        <v>525</v>
      </c>
      <c r="G591" s="4">
        <v>2020</v>
      </c>
      <c r="H591" s="4" t="s">
        <v>361</v>
      </c>
    </row>
    <row r="592" spans="1:8" ht="15.75" customHeight="1" x14ac:dyDescent="0.2">
      <c r="A592" s="4" t="s">
        <v>501</v>
      </c>
      <c r="B592" s="4" t="str">
        <f t="shared" si="2"/>
        <v>GFC Foundation_State Policy Network20175000</v>
      </c>
      <c r="C592" s="4" t="str">
        <f ca="1">IFERROR(__xludf.DUMMYFUNCTION("ARRAY_CONSTRAIN(ARRAYFORMULA(SINGLE(TEXTJOIN(""_"",TRUE,D592,G592))), 1, 1)"),"GFC Foundation_2017")</f>
        <v>GFC Foundation_2017</v>
      </c>
      <c r="D592" s="4" t="s">
        <v>63</v>
      </c>
      <c r="E592" s="8" t="s">
        <v>46</v>
      </c>
      <c r="F592" s="6">
        <v>5000</v>
      </c>
      <c r="G592" s="4">
        <v>2017</v>
      </c>
      <c r="H592" s="4" t="s">
        <v>361</v>
      </c>
    </row>
    <row r="593" spans="1:8" ht="15.75" customHeight="1" x14ac:dyDescent="0.2">
      <c r="A593" s="4" t="s">
        <v>502</v>
      </c>
      <c r="B593" s="4" t="str">
        <f t="shared" si="2"/>
        <v>GFC Foundation_State Policy Network20155000</v>
      </c>
      <c r="C593" s="4" t="str">
        <f ca="1">IFERROR(__xludf.DUMMYFUNCTION("ARRAY_CONSTRAIN(ARRAYFORMULA(SINGLE(TEXTJOIN(""_"",TRUE,D593,G593))), 1, 1)"),"GFC Foundation_2015")</f>
        <v>GFC Foundation_2015</v>
      </c>
      <c r="D593" s="4" t="s">
        <v>63</v>
      </c>
      <c r="E593" s="8" t="s">
        <v>46</v>
      </c>
      <c r="F593" s="6">
        <v>5000</v>
      </c>
      <c r="G593" s="4">
        <v>2015</v>
      </c>
      <c r="H593" s="4" t="s">
        <v>361</v>
      </c>
    </row>
    <row r="594" spans="1:8" ht="15.75" customHeight="1" x14ac:dyDescent="0.2">
      <c r="A594" s="4" t="s">
        <v>503</v>
      </c>
      <c r="B594" s="4" t="str">
        <f t="shared" si="2"/>
        <v>GFC Foundation_State Policy Network20145000</v>
      </c>
      <c r="C594" s="4" t="str">
        <f ca="1">IFERROR(__xludf.DUMMYFUNCTION("ARRAY_CONSTRAIN(ARRAYFORMULA(SINGLE(TEXTJOIN(""_"",TRUE,D594,G594))), 1, 1)"),"GFC Foundation_2014")</f>
        <v>GFC Foundation_2014</v>
      </c>
      <c r="D594" s="4" t="s">
        <v>63</v>
      </c>
      <c r="E594" s="8" t="s">
        <v>46</v>
      </c>
      <c r="F594" s="6">
        <v>5000</v>
      </c>
      <c r="G594" s="4">
        <v>2014</v>
      </c>
      <c r="H594" s="4" t="s">
        <v>361</v>
      </c>
    </row>
    <row r="595" spans="1:8" ht="15.75" customHeight="1" x14ac:dyDescent="0.2">
      <c r="A595" s="4" t="s">
        <v>504</v>
      </c>
      <c r="B595" s="4" t="str">
        <f t="shared" si="2"/>
        <v>GFC Foundation_State Policy Network20135000</v>
      </c>
      <c r="C595" s="4" t="str">
        <f ca="1">IFERROR(__xludf.DUMMYFUNCTION("ARRAY_CONSTRAIN(ARRAYFORMULA(SINGLE(TEXTJOIN(""_"",TRUE,D595,G595))), 1, 1)"),"GFC Foundation_2013")</f>
        <v>GFC Foundation_2013</v>
      </c>
      <c r="D595" s="4" t="s">
        <v>63</v>
      </c>
      <c r="E595" s="8" t="s">
        <v>46</v>
      </c>
      <c r="F595" s="6">
        <v>5000</v>
      </c>
      <c r="G595" s="4">
        <v>2013</v>
      </c>
      <c r="H595" s="4" t="s">
        <v>361</v>
      </c>
    </row>
    <row r="596" spans="1:8" ht="15.75" customHeight="1" x14ac:dyDescent="0.2">
      <c r="A596" s="4" t="s">
        <v>505</v>
      </c>
      <c r="B596" s="4" t="str">
        <f t="shared" si="2"/>
        <v>GFC Foundation_State Policy Network20125000</v>
      </c>
      <c r="C596" s="4" t="str">
        <f ca="1">IFERROR(__xludf.DUMMYFUNCTION("ARRAY_CONSTRAIN(ARRAYFORMULA(SINGLE(TEXTJOIN(""_"",TRUE,D596,G596))), 1, 1)"),"GFC Foundation_2012")</f>
        <v>GFC Foundation_2012</v>
      </c>
      <c r="D596" s="4" t="s">
        <v>63</v>
      </c>
      <c r="E596" s="8" t="s">
        <v>46</v>
      </c>
      <c r="F596" s="6">
        <v>5000</v>
      </c>
      <c r="G596" s="4">
        <v>2012</v>
      </c>
      <c r="H596" s="4" t="s">
        <v>361</v>
      </c>
    </row>
    <row r="597" spans="1:8" ht="15.75" customHeight="1" x14ac:dyDescent="0.2">
      <c r="A597" s="4" t="s">
        <v>506</v>
      </c>
      <c r="B597" s="4" t="str">
        <f t="shared" si="2"/>
        <v>GFC Foundation_State Policy Network20115000</v>
      </c>
      <c r="C597" s="4" t="str">
        <f ca="1">IFERROR(__xludf.DUMMYFUNCTION("ARRAY_CONSTRAIN(ARRAYFORMULA(SINGLE(TEXTJOIN(""_"",TRUE,D597,G597))), 1, 1)"),"GFC Foundation_2011")</f>
        <v>GFC Foundation_2011</v>
      </c>
      <c r="D597" s="4" t="s">
        <v>63</v>
      </c>
      <c r="E597" s="8" t="s">
        <v>46</v>
      </c>
      <c r="F597" s="6">
        <v>5000</v>
      </c>
      <c r="G597" s="4">
        <v>2011</v>
      </c>
      <c r="H597" s="4" t="s">
        <v>361</v>
      </c>
    </row>
    <row r="598" spans="1:8" ht="15.75" customHeight="1" x14ac:dyDescent="0.2">
      <c r="A598" s="4" t="s">
        <v>507</v>
      </c>
      <c r="B598" s="4" t="str">
        <f t="shared" si="2"/>
        <v>GFC Foundation_State Policy Network201010000</v>
      </c>
      <c r="C598" s="4" t="str">
        <f ca="1">IFERROR(__xludf.DUMMYFUNCTION("ARRAY_CONSTRAIN(ARRAYFORMULA(SINGLE(TEXTJOIN(""_"",TRUE,D598,G598))), 1, 1)"),"GFC Foundation_2010")</f>
        <v>GFC Foundation_2010</v>
      </c>
      <c r="D598" s="4" t="s">
        <v>63</v>
      </c>
      <c r="E598" s="8" t="s">
        <v>46</v>
      </c>
      <c r="F598" s="6">
        <v>10000</v>
      </c>
      <c r="G598" s="4">
        <v>2010</v>
      </c>
      <c r="H598" s="4" t="s">
        <v>361</v>
      </c>
    </row>
    <row r="599" spans="1:8" ht="15.75" customHeight="1" x14ac:dyDescent="0.2">
      <c r="A599" s="4" t="s">
        <v>508</v>
      </c>
      <c r="B599" s="4" t="str">
        <f t="shared" si="2"/>
        <v>GFC Foundation_State Policy Network200825000</v>
      </c>
      <c r="C599" s="4" t="str">
        <f ca="1">IFERROR(__xludf.DUMMYFUNCTION("ARRAY_CONSTRAIN(ARRAYFORMULA(SINGLE(TEXTJOIN(""_"",TRUE,D599,G599))), 1, 1)"),"GFC Foundation_2008")</f>
        <v>GFC Foundation_2008</v>
      </c>
      <c r="D599" s="4" t="s">
        <v>63</v>
      </c>
      <c r="E599" s="8" t="s">
        <v>46</v>
      </c>
      <c r="F599" s="6">
        <v>25000</v>
      </c>
      <c r="G599" s="4">
        <v>2008</v>
      </c>
      <c r="H599" s="4" t="s">
        <v>361</v>
      </c>
    </row>
    <row r="600" spans="1:8" ht="15.75" customHeight="1" x14ac:dyDescent="0.2">
      <c r="A600" s="4" t="s">
        <v>509</v>
      </c>
      <c r="B600" s="4" t="str">
        <f t="shared" si="2"/>
        <v>GFC Foundation_State Policy Network20052500</v>
      </c>
      <c r="C600" s="4" t="str">
        <f ca="1">IFERROR(__xludf.DUMMYFUNCTION("ARRAY_CONSTRAIN(ARRAYFORMULA(SINGLE(TEXTJOIN(""_"",TRUE,D600,G600))), 1, 1)"),"GFC Foundation_2005")</f>
        <v>GFC Foundation_2005</v>
      </c>
      <c r="D600" s="4" t="s">
        <v>63</v>
      </c>
      <c r="E600" s="8" t="s">
        <v>46</v>
      </c>
      <c r="F600" s="6">
        <v>2500</v>
      </c>
      <c r="G600" s="4">
        <v>2005</v>
      </c>
      <c r="H600" s="4" t="s">
        <v>361</v>
      </c>
    </row>
    <row r="601" spans="1:8" ht="15.75" customHeight="1" x14ac:dyDescent="0.2">
      <c r="A601" s="4" t="s">
        <v>510</v>
      </c>
      <c r="B601" s="4" t="str">
        <f t="shared" si="2"/>
        <v>GFC Foundation_State Policy Network20022500</v>
      </c>
      <c r="C601" s="4" t="str">
        <f ca="1">IFERROR(__xludf.DUMMYFUNCTION("ARRAY_CONSTRAIN(ARRAYFORMULA(SINGLE(TEXTJOIN(""_"",TRUE,D601,G601))), 1, 1)"),"GFC Foundation_2002")</f>
        <v>GFC Foundation_2002</v>
      </c>
      <c r="D601" s="4" t="s">
        <v>63</v>
      </c>
      <c r="E601" s="8" t="s">
        <v>46</v>
      </c>
      <c r="F601" s="6">
        <v>2500</v>
      </c>
      <c r="G601" s="4">
        <v>2002</v>
      </c>
      <c r="H601" s="4" t="s">
        <v>361</v>
      </c>
    </row>
    <row r="602" spans="1:8" ht="15.75" customHeight="1" x14ac:dyDescent="0.2">
      <c r="A602" s="4" t="s">
        <v>511</v>
      </c>
      <c r="B602" s="4" t="str">
        <f t="shared" si="2"/>
        <v>Gilroy and Lillian P Roberts Charitable Foundation_State Policy Network2021100</v>
      </c>
      <c r="C602" s="4" t="str">
        <f ca="1">IFERROR(__xludf.DUMMYFUNCTION("ARRAY_CONSTRAIN(ARRAYFORMULA(SINGLE(TEXTJOIN(""_"",TRUE,D602,G602))), 1, 1)"),"Gilroy and Lillian P Roberts Charitable Foundation_2021")</f>
        <v>Gilroy and Lillian P Roberts Charitable Foundation_2021</v>
      </c>
      <c r="D602" s="4" t="s">
        <v>172</v>
      </c>
      <c r="E602" s="8" t="s">
        <v>46</v>
      </c>
      <c r="F602" s="6">
        <v>100</v>
      </c>
      <c r="G602" s="4">
        <v>2021</v>
      </c>
      <c r="H602" s="4" t="s">
        <v>361</v>
      </c>
    </row>
    <row r="603" spans="1:8" ht="15.75" customHeight="1" x14ac:dyDescent="0.2">
      <c r="A603" s="4" t="s">
        <v>512</v>
      </c>
      <c r="B603" s="4" t="str">
        <f t="shared" si="2"/>
        <v>Gilroy and Lillian P Roberts Charitable Foundation_State Policy Network2020100</v>
      </c>
      <c r="C603" s="4" t="str">
        <f ca="1">IFERROR(__xludf.DUMMYFUNCTION("ARRAY_CONSTRAIN(ARRAYFORMULA(SINGLE(TEXTJOIN(""_"",TRUE,D603,G603))), 1, 1)"),"Gilroy and Lillian P Roberts Charitable Foundation_2020")</f>
        <v>Gilroy and Lillian P Roberts Charitable Foundation_2020</v>
      </c>
      <c r="D603" s="4" t="s">
        <v>172</v>
      </c>
      <c r="E603" s="8" t="s">
        <v>46</v>
      </c>
      <c r="F603" s="6">
        <v>100</v>
      </c>
      <c r="G603" s="4">
        <v>2020</v>
      </c>
      <c r="H603" s="4" t="s">
        <v>361</v>
      </c>
    </row>
    <row r="604" spans="1:8" ht="15.75" customHeight="1" x14ac:dyDescent="0.2">
      <c r="A604" s="4" t="s">
        <v>513</v>
      </c>
      <c r="B604" s="4" t="str">
        <f t="shared" si="2"/>
        <v>Gilroy and Lillian P Roberts Charitable Foundation_State Policy Network2019100</v>
      </c>
      <c r="C604" s="4" t="str">
        <f ca="1">IFERROR(__xludf.DUMMYFUNCTION("ARRAY_CONSTRAIN(ARRAYFORMULA(SINGLE(TEXTJOIN(""_"",TRUE,D604,G604))), 1, 1)"),"Gilroy and Lillian P Roberts Charitable Foundation_2019")</f>
        <v>Gilroy and Lillian P Roberts Charitable Foundation_2019</v>
      </c>
      <c r="D604" s="4" t="s">
        <v>172</v>
      </c>
      <c r="E604" s="8" t="s">
        <v>46</v>
      </c>
      <c r="F604" s="6">
        <v>100</v>
      </c>
      <c r="G604" s="4">
        <v>2019</v>
      </c>
      <c r="H604" s="4" t="s">
        <v>361</v>
      </c>
    </row>
    <row r="605" spans="1:8" ht="15.75" customHeight="1" x14ac:dyDescent="0.2">
      <c r="A605" s="4" t="s">
        <v>514</v>
      </c>
      <c r="B605" s="4" t="str">
        <f t="shared" si="2"/>
        <v>Gilroy and Lillian P Roberts Charitable Foundation_State Policy Network2018100</v>
      </c>
      <c r="C605" s="4" t="str">
        <f ca="1">IFERROR(__xludf.DUMMYFUNCTION("ARRAY_CONSTRAIN(ARRAYFORMULA(SINGLE(TEXTJOIN(""_"",TRUE,D605,G605))), 1, 1)"),"Gilroy and Lillian P Roberts Charitable Foundation_2018")</f>
        <v>Gilroy and Lillian P Roberts Charitable Foundation_2018</v>
      </c>
      <c r="D605" s="4" t="s">
        <v>172</v>
      </c>
      <c r="E605" s="8" t="s">
        <v>46</v>
      </c>
      <c r="F605" s="6">
        <v>100</v>
      </c>
      <c r="G605" s="4">
        <v>2018</v>
      </c>
      <c r="H605" s="4" t="s">
        <v>361</v>
      </c>
    </row>
    <row r="606" spans="1:8" ht="15.75" customHeight="1" x14ac:dyDescent="0.2">
      <c r="A606" s="4" t="s">
        <v>515</v>
      </c>
      <c r="B606" s="4" t="str">
        <f t="shared" si="2"/>
        <v>Gilroy and Lillian P Roberts Charitable Foundation_State Policy Network2017100</v>
      </c>
      <c r="C606" s="4" t="str">
        <f ca="1">IFERROR(__xludf.DUMMYFUNCTION("ARRAY_CONSTRAIN(ARRAYFORMULA(SINGLE(TEXTJOIN(""_"",TRUE,D606,G606))), 1, 1)"),"Gilroy and Lillian P Roberts Charitable Foundation_2017")</f>
        <v>Gilroy and Lillian P Roberts Charitable Foundation_2017</v>
      </c>
      <c r="D606" s="4" t="s">
        <v>172</v>
      </c>
      <c r="E606" s="8" t="s">
        <v>46</v>
      </c>
      <c r="F606" s="6">
        <v>100</v>
      </c>
      <c r="G606" s="4">
        <v>2017</v>
      </c>
      <c r="H606" s="4" t="s">
        <v>361</v>
      </c>
    </row>
    <row r="607" spans="1:8" ht="15.75" customHeight="1" x14ac:dyDescent="0.2">
      <c r="A607" s="4" t="s">
        <v>516</v>
      </c>
      <c r="B607" s="4" t="str">
        <f t="shared" si="2"/>
        <v>Gilroy and Lillian P Roberts Charitable Foundation_State Policy Network2016100</v>
      </c>
      <c r="C607" s="4" t="str">
        <f ca="1">IFERROR(__xludf.DUMMYFUNCTION("ARRAY_CONSTRAIN(ARRAYFORMULA(SINGLE(TEXTJOIN(""_"",TRUE,D607,G607))), 1, 1)"),"Gilroy and Lillian P Roberts Charitable Foundation_2016")</f>
        <v>Gilroy and Lillian P Roberts Charitable Foundation_2016</v>
      </c>
      <c r="D607" s="4" t="s">
        <v>172</v>
      </c>
      <c r="E607" s="8" t="s">
        <v>46</v>
      </c>
      <c r="F607" s="6">
        <v>100</v>
      </c>
      <c r="G607" s="4">
        <v>2016</v>
      </c>
      <c r="H607" s="4" t="s">
        <v>361</v>
      </c>
    </row>
    <row r="608" spans="1:8" ht="15.75" customHeight="1" x14ac:dyDescent="0.2">
      <c r="A608" s="4" t="s">
        <v>516</v>
      </c>
      <c r="B608" s="4" t="str">
        <f t="shared" si="2"/>
        <v>Gilroy and Lillian P Roberts Charitable Foundation_State Policy Network2016100</v>
      </c>
      <c r="C608" s="4" t="str">
        <f ca="1">IFERROR(__xludf.DUMMYFUNCTION("ARRAY_CONSTRAIN(ARRAYFORMULA(SINGLE(TEXTJOIN(""_"",TRUE,D608,G608))), 1, 1)"),"Gilroy and Lillian P Roberts Charitable Foundation_2016")</f>
        <v>Gilroy and Lillian P Roberts Charitable Foundation_2016</v>
      </c>
      <c r="D608" s="4" t="s">
        <v>172</v>
      </c>
      <c r="E608" s="8" t="s">
        <v>46</v>
      </c>
      <c r="F608" s="6">
        <v>100</v>
      </c>
      <c r="G608" s="4">
        <v>2016</v>
      </c>
      <c r="H608" s="4" t="s">
        <v>361</v>
      </c>
    </row>
    <row r="609" spans="1:8" ht="15.75" customHeight="1" x14ac:dyDescent="0.2">
      <c r="A609" s="4" t="s">
        <v>517</v>
      </c>
      <c r="B609" s="4" t="str">
        <f t="shared" si="2"/>
        <v>Gilroy and Lillian P Roberts Charitable Foundation_State Policy Network2015100</v>
      </c>
      <c r="C609" s="4" t="str">
        <f ca="1">IFERROR(__xludf.DUMMYFUNCTION("ARRAY_CONSTRAIN(ARRAYFORMULA(SINGLE(TEXTJOIN(""_"",TRUE,D609,G609))), 1, 1)"),"Gilroy and Lillian P Roberts Charitable Foundation_2015")</f>
        <v>Gilroy and Lillian P Roberts Charitable Foundation_2015</v>
      </c>
      <c r="D609" s="4" t="s">
        <v>172</v>
      </c>
      <c r="E609" s="8" t="s">
        <v>46</v>
      </c>
      <c r="F609" s="6">
        <v>100</v>
      </c>
      <c r="G609" s="4">
        <v>2015</v>
      </c>
      <c r="H609" s="4" t="s">
        <v>361</v>
      </c>
    </row>
    <row r="610" spans="1:8" ht="15.75" customHeight="1" x14ac:dyDescent="0.2">
      <c r="A610" s="4" t="s">
        <v>517</v>
      </c>
      <c r="B610" s="4" t="str">
        <f t="shared" si="2"/>
        <v>Gilroy and Lillian P Roberts Charitable Foundation_State Policy Network2015100</v>
      </c>
      <c r="C610" s="4" t="str">
        <f ca="1">IFERROR(__xludf.DUMMYFUNCTION("ARRAY_CONSTRAIN(ARRAYFORMULA(SINGLE(TEXTJOIN(""_"",TRUE,D610,G610))), 1, 1)"),"Gilroy and Lillian P Roberts Charitable Foundation_2015")</f>
        <v>Gilroy and Lillian P Roberts Charitable Foundation_2015</v>
      </c>
      <c r="D610" s="4" t="s">
        <v>172</v>
      </c>
      <c r="E610" s="8" t="s">
        <v>46</v>
      </c>
      <c r="F610" s="6">
        <v>100</v>
      </c>
      <c r="G610" s="4">
        <v>2015</v>
      </c>
      <c r="H610" s="4" t="s">
        <v>361</v>
      </c>
    </row>
    <row r="611" spans="1:8" ht="15.75" customHeight="1" x14ac:dyDescent="0.2">
      <c r="A611" s="4" t="s">
        <v>518</v>
      </c>
      <c r="B611" s="4" t="str">
        <f t="shared" si="2"/>
        <v>Gilroy and Lillian P Roberts Charitable Foundation_State Policy Network2014100</v>
      </c>
      <c r="C611" s="4" t="str">
        <f ca="1">IFERROR(__xludf.DUMMYFUNCTION("ARRAY_CONSTRAIN(ARRAYFORMULA(SINGLE(TEXTJOIN(""_"",TRUE,D611,G611))), 1, 1)"),"Gilroy and Lillian P Roberts Charitable Foundation_2014")</f>
        <v>Gilroy and Lillian P Roberts Charitable Foundation_2014</v>
      </c>
      <c r="D611" s="4" t="s">
        <v>172</v>
      </c>
      <c r="E611" s="8" t="s">
        <v>46</v>
      </c>
      <c r="F611" s="6">
        <v>100</v>
      </c>
      <c r="G611" s="4">
        <v>2014</v>
      </c>
      <c r="H611" s="4" t="s">
        <v>361</v>
      </c>
    </row>
    <row r="612" spans="1:8" ht="15.75" customHeight="1" x14ac:dyDescent="0.2">
      <c r="A612" s="4" t="s">
        <v>518</v>
      </c>
      <c r="B612" s="4" t="str">
        <f t="shared" si="2"/>
        <v>Gilroy and Lillian P Roberts Charitable Foundation_State Policy Network2014100</v>
      </c>
      <c r="C612" s="4" t="str">
        <f ca="1">IFERROR(__xludf.DUMMYFUNCTION("ARRAY_CONSTRAIN(ARRAYFORMULA(SINGLE(TEXTJOIN(""_"",TRUE,D612,G612))), 1, 1)"),"Gilroy and Lillian P Roberts Charitable Foundation_2014")</f>
        <v>Gilroy and Lillian P Roberts Charitable Foundation_2014</v>
      </c>
      <c r="D612" s="4" t="s">
        <v>172</v>
      </c>
      <c r="E612" s="8" t="s">
        <v>46</v>
      </c>
      <c r="F612" s="6">
        <v>100</v>
      </c>
      <c r="G612" s="4">
        <v>2014</v>
      </c>
      <c r="H612" s="4" t="s">
        <v>361</v>
      </c>
    </row>
    <row r="613" spans="1:8" ht="15.75" customHeight="1" x14ac:dyDescent="0.2">
      <c r="A613" s="4" t="s">
        <v>519</v>
      </c>
      <c r="B613" s="4" t="str">
        <f t="shared" si="2"/>
        <v>Gilroy and Lillian P Roberts Charitable Foundation_State Policy Network2013100</v>
      </c>
      <c r="C613" s="4" t="str">
        <f ca="1">IFERROR(__xludf.DUMMYFUNCTION("ARRAY_CONSTRAIN(ARRAYFORMULA(SINGLE(TEXTJOIN(""_"",TRUE,D613,G613))), 1, 1)"),"Gilroy and Lillian P Roberts Charitable Foundation_2013")</f>
        <v>Gilroy and Lillian P Roberts Charitable Foundation_2013</v>
      </c>
      <c r="D613" s="4" t="s">
        <v>172</v>
      </c>
      <c r="E613" s="8" t="s">
        <v>46</v>
      </c>
      <c r="F613" s="6">
        <v>100</v>
      </c>
      <c r="G613" s="4">
        <v>2013</v>
      </c>
      <c r="H613" s="4" t="s">
        <v>361</v>
      </c>
    </row>
    <row r="614" spans="1:8" ht="15.75" customHeight="1" x14ac:dyDescent="0.2">
      <c r="A614" s="4" t="s">
        <v>519</v>
      </c>
      <c r="B614" s="4" t="str">
        <f t="shared" si="2"/>
        <v>Gilroy and Lillian P Roberts Charitable Foundation_State Policy Network2013100</v>
      </c>
      <c r="C614" s="4" t="str">
        <f ca="1">IFERROR(__xludf.DUMMYFUNCTION("ARRAY_CONSTRAIN(ARRAYFORMULA(SINGLE(TEXTJOIN(""_"",TRUE,D614,G614))), 1, 1)"),"Gilroy and Lillian P Roberts Charitable Foundation_2013")</f>
        <v>Gilroy and Lillian P Roberts Charitable Foundation_2013</v>
      </c>
      <c r="D614" s="4" t="s">
        <v>172</v>
      </c>
      <c r="E614" s="8" t="s">
        <v>46</v>
      </c>
      <c r="F614" s="6">
        <v>100</v>
      </c>
      <c r="G614" s="4">
        <v>2013</v>
      </c>
      <c r="H614" s="4" t="s">
        <v>361</v>
      </c>
    </row>
    <row r="615" spans="1:8" ht="15.75" customHeight="1" x14ac:dyDescent="0.2">
      <c r="A615" s="4" t="s">
        <v>520</v>
      </c>
      <c r="B615" s="4" t="str">
        <f t="shared" si="2"/>
        <v>Glacs Endowment Fund_State Policy Network20124000</v>
      </c>
      <c r="C615" s="4" t="str">
        <f ca="1">IFERROR(__xludf.DUMMYFUNCTION("ARRAY_CONSTRAIN(ARRAYFORMULA(SINGLE(TEXTJOIN(""_"",TRUE,D615,G615))), 1, 1)"),"Glacs Endowment Fund_2012")</f>
        <v>Glacs Endowment Fund_2012</v>
      </c>
      <c r="D615" s="4" t="s">
        <v>144</v>
      </c>
      <c r="E615" s="8" t="s">
        <v>46</v>
      </c>
      <c r="F615" s="6">
        <v>4000</v>
      </c>
      <c r="G615" s="4">
        <v>2012</v>
      </c>
      <c r="H615" s="4" t="s">
        <v>361</v>
      </c>
    </row>
    <row r="616" spans="1:8" ht="15.75" customHeight="1" x14ac:dyDescent="0.2">
      <c r="A616" s="4" t="s">
        <v>521</v>
      </c>
      <c r="B616" s="4" t="str">
        <f t="shared" si="2"/>
        <v>Glacs Endowment Fund_State Policy Network20112000</v>
      </c>
      <c r="C616" s="4" t="str">
        <f ca="1">IFERROR(__xludf.DUMMYFUNCTION("ARRAY_CONSTRAIN(ARRAYFORMULA(SINGLE(TEXTJOIN(""_"",TRUE,D616,G616))), 1, 1)"),"Glacs Endowment Fund_2011")</f>
        <v>Glacs Endowment Fund_2011</v>
      </c>
      <c r="D616" s="4" t="s">
        <v>144</v>
      </c>
      <c r="E616" s="8" t="s">
        <v>46</v>
      </c>
      <c r="F616" s="6">
        <v>2000</v>
      </c>
      <c r="G616" s="4">
        <v>2011</v>
      </c>
      <c r="H616" s="4" t="s">
        <v>361</v>
      </c>
    </row>
    <row r="617" spans="1:8" ht="15.75" customHeight="1" x14ac:dyDescent="0.2">
      <c r="A617" s="4" t="s">
        <v>522</v>
      </c>
      <c r="B617" s="4" t="str">
        <f t="shared" si="2"/>
        <v>Gogo Foundation_State Policy Network20221000</v>
      </c>
      <c r="C617" s="4" t="str">
        <f ca="1">IFERROR(__xludf.DUMMYFUNCTION("ARRAY_CONSTRAIN(ARRAYFORMULA(SINGLE(TEXTJOIN(""_"",TRUE,D617,G617))), 1, 1)"),"Gogo Foundation_2022")</f>
        <v>Gogo Foundation_2022</v>
      </c>
      <c r="D617" s="4" t="s">
        <v>109</v>
      </c>
      <c r="E617" s="8" t="s">
        <v>46</v>
      </c>
      <c r="F617" s="6">
        <v>1000</v>
      </c>
      <c r="G617" s="4">
        <v>2022</v>
      </c>
      <c r="H617" s="4" t="s">
        <v>361</v>
      </c>
    </row>
    <row r="618" spans="1:8" ht="15.75" customHeight="1" x14ac:dyDescent="0.2">
      <c r="A618" s="4" t="s">
        <v>523</v>
      </c>
      <c r="B618" s="4" t="str">
        <f t="shared" si="2"/>
        <v>Gogo Foundation_State Policy Network20211000</v>
      </c>
      <c r="C618" s="4" t="str">
        <f ca="1">IFERROR(__xludf.DUMMYFUNCTION("ARRAY_CONSTRAIN(ARRAYFORMULA(SINGLE(TEXTJOIN(""_"",TRUE,D618,G618))), 1, 1)"),"Gogo Foundation_2021")</f>
        <v>Gogo Foundation_2021</v>
      </c>
      <c r="D618" s="4" t="s">
        <v>109</v>
      </c>
      <c r="E618" s="8" t="s">
        <v>46</v>
      </c>
      <c r="F618" s="6">
        <v>1000</v>
      </c>
      <c r="G618" s="4">
        <v>2021</v>
      </c>
      <c r="H618" s="4" t="s">
        <v>361</v>
      </c>
    </row>
    <row r="619" spans="1:8" ht="15.75" customHeight="1" x14ac:dyDescent="0.2">
      <c r="A619" s="4" t="s">
        <v>524</v>
      </c>
      <c r="B619" s="4" t="str">
        <f t="shared" si="2"/>
        <v>Gogo Foundation_State Policy Network20201000</v>
      </c>
      <c r="C619" s="4" t="str">
        <f ca="1">IFERROR(__xludf.DUMMYFUNCTION("ARRAY_CONSTRAIN(ARRAYFORMULA(SINGLE(TEXTJOIN(""_"",TRUE,D619,G619))), 1, 1)"),"Gogo Foundation_2020")</f>
        <v>Gogo Foundation_2020</v>
      </c>
      <c r="D619" s="4" t="s">
        <v>109</v>
      </c>
      <c r="E619" s="8" t="s">
        <v>46</v>
      </c>
      <c r="F619" s="6">
        <v>1000</v>
      </c>
      <c r="G619" s="4">
        <v>2020</v>
      </c>
      <c r="H619" s="4" t="s">
        <v>361</v>
      </c>
    </row>
    <row r="620" spans="1:8" ht="15.75" customHeight="1" x14ac:dyDescent="0.2">
      <c r="A620" s="4" t="s">
        <v>525</v>
      </c>
      <c r="B620" s="4" t="str">
        <f t="shared" si="2"/>
        <v>Gogo Foundation_State Policy Network20195000</v>
      </c>
      <c r="C620" s="4" t="str">
        <f ca="1">IFERROR(__xludf.DUMMYFUNCTION("ARRAY_CONSTRAIN(ARRAYFORMULA(SINGLE(TEXTJOIN(""_"",TRUE,D620,G620))), 1, 1)"),"Gogo Foundation_2019")</f>
        <v>Gogo Foundation_2019</v>
      </c>
      <c r="D620" s="4" t="s">
        <v>109</v>
      </c>
      <c r="E620" s="8" t="s">
        <v>46</v>
      </c>
      <c r="F620" s="6">
        <v>5000</v>
      </c>
      <c r="G620" s="4">
        <v>2019</v>
      </c>
      <c r="H620" s="4" t="s">
        <v>361</v>
      </c>
    </row>
    <row r="621" spans="1:8" ht="15.75" customHeight="1" x14ac:dyDescent="0.2">
      <c r="A621" s="4" t="s">
        <v>526</v>
      </c>
      <c r="B621" s="4" t="str">
        <f t="shared" si="2"/>
        <v>Gogo Foundation_State Policy Network20167500</v>
      </c>
      <c r="C621" s="4" t="str">
        <f ca="1">IFERROR(__xludf.DUMMYFUNCTION("ARRAY_CONSTRAIN(ARRAYFORMULA(SINGLE(TEXTJOIN(""_"",TRUE,D621,G621))), 1, 1)"),"Gogo Foundation_2016")</f>
        <v>Gogo Foundation_2016</v>
      </c>
      <c r="D621" s="4" t="s">
        <v>109</v>
      </c>
      <c r="E621" s="8" t="s">
        <v>46</v>
      </c>
      <c r="F621" s="6">
        <v>7500</v>
      </c>
      <c r="G621" s="4">
        <v>2016</v>
      </c>
      <c r="H621" s="4" t="s">
        <v>361</v>
      </c>
    </row>
    <row r="622" spans="1:8" ht="15.75" customHeight="1" x14ac:dyDescent="0.2">
      <c r="A622" s="4" t="s">
        <v>527</v>
      </c>
      <c r="B622" s="4" t="str">
        <f t="shared" si="2"/>
        <v>Gordon R Connor Charitable Foundation_State Policy Network2014500</v>
      </c>
      <c r="C622" s="4" t="str">
        <f ca="1">IFERROR(__xludf.DUMMYFUNCTION("ARRAY_CONSTRAIN(ARRAYFORMULA(SINGLE(TEXTJOIN(""_"",TRUE,D622,G622))), 1, 1)"),"Gordon R Connor Charitable Foundation_2014")</f>
        <v>Gordon R Connor Charitable Foundation_2014</v>
      </c>
      <c r="D622" s="4" t="s">
        <v>171</v>
      </c>
      <c r="E622" s="8" t="s">
        <v>46</v>
      </c>
      <c r="F622" s="6">
        <v>500</v>
      </c>
      <c r="G622" s="4">
        <v>2014</v>
      </c>
      <c r="H622" s="4" t="s">
        <v>361</v>
      </c>
    </row>
    <row r="623" spans="1:8" ht="15.75" customHeight="1" x14ac:dyDescent="0.2">
      <c r="A623" s="4" t="s">
        <v>528</v>
      </c>
      <c r="B623" s="4" t="str">
        <f t="shared" si="2"/>
        <v>Gordon R Connor Charitable Foundation_State Policy Network20131000</v>
      </c>
      <c r="C623" s="4" t="str">
        <f ca="1">IFERROR(__xludf.DUMMYFUNCTION("ARRAY_CONSTRAIN(ARRAYFORMULA(SINGLE(TEXTJOIN(""_"",TRUE,D623,G623))), 1, 1)"),"Gordon R Connor Charitable Foundation_2013")</f>
        <v>Gordon R Connor Charitable Foundation_2013</v>
      </c>
      <c r="D623" s="4" t="s">
        <v>171</v>
      </c>
      <c r="E623" s="8" t="s">
        <v>46</v>
      </c>
      <c r="F623" s="6">
        <v>1000</v>
      </c>
      <c r="G623" s="4">
        <v>2013</v>
      </c>
      <c r="H623" s="4" t="s">
        <v>361</v>
      </c>
    </row>
    <row r="624" spans="1:8" ht="15.75" customHeight="1" x14ac:dyDescent="0.2">
      <c r="A624" s="4">
        <v>990</v>
      </c>
      <c r="B624" s="4" t="str">
        <f t="shared" si="2"/>
        <v>Government Accountability Alliance_State Policy Network20167500</v>
      </c>
      <c r="C624" s="4" t="str">
        <f ca="1">IFERROR(__xludf.DUMMYFUNCTION("ARRAY_CONSTRAIN(ARRAYFORMULA(SINGLE(TEXTJOIN(""_"",TRUE,D624,G624))), 1, 1)"),"Government Accountability Alliance_2016")</f>
        <v>Government Accountability Alliance_2016</v>
      </c>
      <c r="D624" s="4" t="s">
        <v>138</v>
      </c>
      <c r="E624" s="8" t="s">
        <v>46</v>
      </c>
      <c r="F624" s="6">
        <v>7500</v>
      </c>
      <c r="G624" s="4">
        <v>2016</v>
      </c>
      <c r="H624" s="4" t="s">
        <v>361</v>
      </c>
    </row>
    <row r="625" spans="1:9" ht="15.75" customHeight="1" x14ac:dyDescent="0.2">
      <c r="A625" s="4" t="s">
        <v>529</v>
      </c>
      <c r="B625" s="4" t="str">
        <f t="shared" si="2"/>
        <v>Greater Houston Community Foundation_State Policy Network202136000</v>
      </c>
      <c r="C625" s="4" t="str">
        <f ca="1">IFERROR(__xludf.DUMMYFUNCTION("ARRAY_CONSTRAIN(ARRAYFORMULA(SINGLE(TEXTJOIN(""_"",TRUE,D625,G625))), 1, 1)"),"Greater Houston Community Foundation_2021")</f>
        <v>Greater Houston Community Foundation_2021</v>
      </c>
      <c r="D625" s="4" t="s">
        <v>56</v>
      </c>
      <c r="E625" s="8" t="s">
        <v>46</v>
      </c>
      <c r="F625" s="6">
        <v>36000</v>
      </c>
      <c r="G625" s="4">
        <v>2021</v>
      </c>
      <c r="H625" s="4" t="s">
        <v>361</v>
      </c>
      <c r="I625" s="4" t="s">
        <v>530</v>
      </c>
    </row>
    <row r="626" spans="1:9" ht="15.75" customHeight="1" x14ac:dyDescent="0.2">
      <c r="A626" s="4" t="s">
        <v>531</v>
      </c>
      <c r="B626" s="4" t="str">
        <f t="shared" si="2"/>
        <v>Greater Houston Community Foundation_State Policy Network2020250</v>
      </c>
      <c r="C626" s="4" t="str">
        <f ca="1">IFERROR(__xludf.DUMMYFUNCTION("ARRAY_CONSTRAIN(ARRAYFORMULA(SINGLE(TEXTJOIN(""_"",TRUE,D626,G626))), 1, 1)"),"Greater Houston Community Foundation_2020")</f>
        <v>Greater Houston Community Foundation_2020</v>
      </c>
      <c r="D626" s="4" t="s">
        <v>56</v>
      </c>
      <c r="E626" s="8" t="s">
        <v>46</v>
      </c>
      <c r="F626" s="6">
        <v>250</v>
      </c>
      <c r="G626" s="4">
        <v>2020</v>
      </c>
      <c r="H626" s="4" t="s">
        <v>361</v>
      </c>
      <c r="I626" s="4" t="s">
        <v>532</v>
      </c>
    </row>
    <row r="627" spans="1:9" ht="15.75" customHeight="1" x14ac:dyDescent="0.2">
      <c r="A627" s="4" t="s">
        <v>531</v>
      </c>
      <c r="B627" s="4" t="str">
        <f t="shared" si="2"/>
        <v>Greater Houston Community Foundation_State Policy Network2020500</v>
      </c>
      <c r="C627" s="4" t="str">
        <f ca="1">IFERROR(__xludf.DUMMYFUNCTION("ARRAY_CONSTRAIN(ARRAYFORMULA(SINGLE(TEXTJOIN(""_"",TRUE,D627,G627))), 1, 1)"),"Greater Houston Community Foundation_2020")</f>
        <v>Greater Houston Community Foundation_2020</v>
      </c>
      <c r="D627" s="4" t="s">
        <v>56</v>
      </c>
      <c r="E627" s="8" t="s">
        <v>46</v>
      </c>
      <c r="F627" s="6">
        <v>500</v>
      </c>
      <c r="G627" s="4">
        <v>2020</v>
      </c>
      <c r="H627" s="4" t="s">
        <v>361</v>
      </c>
      <c r="I627" s="4" t="s">
        <v>532</v>
      </c>
    </row>
    <row r="628" spans="1:9" ht="15.75" customHeight="1" x14ac:dyDescent="0.2">
      <c r="A628" s="4" t="s">
        <v>531</v>
      </c>
      <c r="B628" s="4" t="str">
        <f t="shared" si="2"/>
        <v>Greater Houston Community Foundation_State Policy Network20201000</v>
      </c>
      <c r="C628" s="4" t="str">
        <f ca="1">IFERROR(__xludf.DUMMYFUNCTION("ARRAY_CONSTRAIN(ARRAYFORMULA(SINGLE(TEXTJOIN(""_"",TRUE,D628,G628))), 1, 1)"),"Greater Houston Community Foundation_2020")</f>
        <v>Greater Houston Community Foundation_2020</v>
      </c>
      <c r="D628" s="4" t="s">
        <v>56</v>
      </c>
      <c r="E628" s="8" t="s">
        <v>46</v>
      </c>
      <c r="F628" s="6">
        <v>1000</v>
      </c>
      <c r="G628" s="4">
        <v>2020</v>
      </c>
      <c r="H628" s="4" t="s">
        <v>361</v>
      </c>
      <c r="I628" s="4" t="s">
        <v>532</v>
      </c>
    </row>
    <row r="629" spans="1:9" ht="15.75" customHeight="1" x14ac:dyDescent="0.2">
      <c r="A629" s="4" t="s">
        <v>531</v>
      </c>
      <c r="B629" s="4" t="str">
        <f t="shared" si="2"/>
        <v>Greater Houston Community Foundation_State Policy Network20201000</v>
      </c>
      <c r="C629" s="4" t="str">
        <f ca="1">IFERROR(__xludf.DUMMYFUNCTION("ARRAY_CONSTRAIN(ARRAYFORMULA(SINGLE(TEXTJOIN(""_"",TRUE,D629,G629))), 1, 1)"),"Greater Houston Community Foundation_2020")</f>
        <v>Greater Houston Community Foundation_2020</v>
      </c>
      <c r="D629" s="4" t="s">
        <v>56</v>
      </c>
      <c r="E629" s="8" t="s">
        <v>46</v>
      </c>
      <c r="F629" s="6">
        <v>1000</v>
      </c>
      <c r="G629" s="4">
        <v>2020</v>
      </c>
      <c r="H629" s="4" t="s">
        <v>361</v>
      </c>
      <c r="I629" s="4" t="s">
        <v>532</v>
      </c>
    </row>
    <row r="630" spans="1:9" ht="15.75" customHeight="1" x14ac:dyDescent="0.2">
      <c r="A630" s="4" t="s">
        <v>531</v>
      </c>
      <c r="B630" s="4" t="str">
        <f t="shared" si="2"/>
        <v>Greater Houston Community Foundation_State Policy Network20205000</v>
      </c>
      <c r="C630" s="4" t="str">
        <f ca="1">IFERROR(__xludf.DUMMYFUNCTION("ARRAY_CONSTRAIN(ARRAYFORMULA(SINGLE(TEXTJOIN(""_"",TRUE,D630,G630))), 1, 1)"),"Greater Houston Community Foundation_2020")</f>
        <v>Greater Houston Community Foundation_2020</v>
      </c>
      <c r="D630" s="4" t="s">
        <v>56</v>
      </c>
      <c r="E630" s="8" t="s">
        <v>46</v>
      </c>
      <c r="F630" s="6">
        <v>5000</v>
      </c>
      <c r="G630" s="4">
        <v>2020</v>
      </c>
      <c r="H630" s="4" t="s">
        <v>361</v>
      </c>
      <c r="I630" s="4" t="s">
        <v>532</v>
      </c>
    </row>
    <row r="631" spans="1:9" ht="15.75" customHeight="1" x14ac:dyDescent="0.2">
      <c r="A631" s="4" t="s">
        <v>531</v>
      </c>
      <c r="B631" s="4" t="str">
        <f t="shared" si="2"/>
        <v>Greater Houston Community Foundation_State Policy Network20206000</v>
      </c>
      <c r="C631" s="4" t="str">
        <f ca="1">IFERROR(__xludf.DUMMYFUNCTION("ARRAY_CONSTRAIN(ARRAYFORMULA(SINGLE(TEXTJOIN(""_"",TRUE,D631,G631))), 1, 1)"),"Greater Houston Community Foundation_2020")</f>
        <v>Greater Houston Community Foundation_2020</v>
      </c>
      <c r="D631" s="4" t="s">
        <v>56</v>
      </c>
      <c r="E631" s="8" t="s">
        <v>46</v>
      </c>
      <c r="F631" s="6">
        <v>6000</v>
      </c>
      <c r="G631" s="4">
        <v>2020</v>
      </c>
      <c r="H631" s="4" t="s">
        <v>361</v>
      </c>
      <c r="I631" s="4" t="s">
        <v>532</v>
      </c>
    </row>
    <row r="632" spans="1:9" ht="15.75" customHeight="1" x14ac:dyDescent="0.2">
      <c r="A632" s="4" t="s">
        <v>531</v>
      </c>
      <c r="B632" s="4" t="str">
        <f t="shared" si="2"/>
        <v>Greater Houston Community Foundation_State Policy Network202010000</v>
      </c>
      <c r="C632" s="4" t="str">
        <f ca="1">IFERROR(__xludf.DUMMYFUNCTION("ARRAY_CONSTRAIN(ARRAYFORMULA(SINGLE(TEXTJOIN(""_"",TRUE,D632,G632))), 1, 1)"),"Greater Houston Community Foundation_2020")</f>
        <v>Greater Houston Community Foundation_2020</v>
      </c>
      <c r="D632" s="4" t="s">
        <v>56</v>
      </c>
      <c r="E632" s="8" t="s">
        <v>46</v>
      </c>
      <c r="F632" s="6">
        <v>10000</v>
      </c>
      <c r="G632" s="4">
        <v>2020</v>
      </c>
      <c r="H632" s="4" t="s">
        <v>361</v>
      </c>
      <c r="I632" s="4" t="s">
        <v>532</v>
      </c>
    </row>
    <row r="633" spans="1:9" ht="15.75" customHeight="1" x14ac:dyDescent="0.2">
      <c r="A633" s="4" t="s">
        <v>533</v>
      </c>
      <c r="B633" s="4" t="str">
        <f t="shared" si="2"/>
        <v>Greater Houston Community Foundation_State Policy Network20199836</v>
      </c>
      <c r="C633" s="4" t="str">
        <f ca="1">IFERROR(__xludf.DUMMYFUNCTION("ARRAY_CONSTRAIN(ARRAYFORMULA(SINGLE(TEXTJOIN(""_"",TRUE,D633,G633))), 1, 1)"),"Greater Houston Community Foundation_2019")</f>
        <v>Greater Houston Community Foundation_2019</v>
      </c>
      <c r="D633" s="4" t="s">
        <v>56</v>
      </c>
      <c r="E633" s="8" t="s">
        <v>46</v>
      </c>
      <c r="F633" s="6">
        <v>9836</v>
      </c>
      <c r="G633" s="4">
        <v>2019</v>
      </c>
      <c r="H633" s="4" t="s">
        <v>361</v>
      </c>
      <c r="I633" s="4" t="s">
        <v>534</v>
      </c>
    </row>
    <row r="634" spans="1:9" ht="15.75" customHeight="1" x14ac:dyDescent="0.2">
      <c r="A634" s="4" t="s">
        <v>535</v>
      </c>
      <c r="B634" s="4" t="str">
        <f t="shared" si="2"/>
        <v>Greater Houston Community Foundation_State Policy Network20186500</v>
      </c>
      <c r="C634" s="4" t="str">
        <f ca="1">IFERROR(__xludf.DUMMYFUNCTION("ARRAY_CONSTRAIN(ARRAYFORMULA(SINGLE(TEXTJOIN(""_"",TRUE,D634,G634))), 1, 1)"),"Greater Houston Community Foundation_2018")</f>
        <v>Greater Houston Community Foundation_2018</v>
      </c>
      <c r="D634" s="4" t="s">
        <v>56</v>
      </c>
      <c r="E634" s="8" t="s">
        <v>46</v>
      </c>
      <c r="F634" s="6">
        <v>6500</v>
      </c>
      <c r="G634" s="4">
        <v>2018</v>
      </c>
      <c r="H634" s="4" t="s">
        <v>361</v>
      </c>
      <c r="I634" s="4" t="s">
        <v>536</v>
      </c>
    </row>
    <row r="635" spans="1:9" ht="15.75" customHeight="1" x14ac:dyDescent="0.2">
      <c r="A635" s="4" t="s">
        <v>537</v>
      </c>
      <c r="B635" s="4" t="str">
        <f t="shared" si="2"/>
        <v>Greater Houston Community Foundation_State Policy Network20171000</v>
      </c>
      <c r="C635" s="4" t="str">
        <f ca="1">IFERROR(__xludf.DUMMYFUNCTION("ARRAY_CONSTRAIN(ARRAYFORMULA(SINGLE(TEXTJOIN(""_"",TRUE,D635,G635))), 1, 1)"),"Greater Houston Community Foundation_2017")</f>
        <v>Greater Houston Community Foundation_2017</v>
      </c>
      <c r="D635" s="4" t="s">
        <v>56</v>
      </c>
      <c r="E635" s="8" t="s">
        <v>46</v>
      </c>
      <c r="F635" s="6">
        <v>1000</v>
      </c>
      <c r="G635" s="4">
        <v>2017</v>
      </c>
      <c r="H635" s="4" t="s">
        <v>361</v>
      </c>
      <c r="I635" s="4" t="s">
        <v>538</v>
      </c>
    </row>
    <row r="636" spans="1:9" ht="15.75" customHeight="1" x14ac:dyDescent="0.2">
      <c r="A636" s="4" t="s">
        <v>537</v>
      </c>
      <c r="B636" s="4" t="str">
        <f t="shared" si="2"/>
        <v>Greater Houston Community Foundation_State Policy Network20176000</v>
      </c>
      <c r="C636" s="4" t="str">
        <f ca="1">IFERROR(__xludf.DUMMYFUNCTION("ARRAY_CONSTRAIN(ARRAYFORMULA(SINGLE(TEXTJOIN(""_"",TRUE,D636,G636))), 1, 1)"),"Greater Houston Community Foundation_2017")</f>
        <v>Greater Houston Community Foundation_2017</v>
      </c>
      <c r="D636" s="4" t="s">
        <v>56</v>
      </c>
      <c r="E636" s="8" t="s">
        <v>46</v>
      </c>
      <c r="F636" s="6">
        <v>6000</v>
      </c>
      <c r="G636" s="4">
        <v>2017</v>
      </c>
      <c r="H636" s="4" t="s">
        <v>361</v>
      </c>
      <c r="I636" s="4" t="s">
        <v>538</v>
      </c>
    </row>
    <row r="637" spans="1:9" ht="15.75" customHeight="1" x14ac:dyDescent="0.2">
      <c r="A637" s="5" t="s">
        <v>539</v>
      </c>
      <c r="B637" s="4" t="str">
        <f t="shared" si="2"/>
        <v>Greater Kansas City Community Foundation_State Policy Network201610000</v>
      </c>
      <c r="C637" s="4" t="str">
        <f ca="1">IFERROR(__xludf.DUMMYFUNCTION("ARRAY_CONSTRAIN(ARRAYFORMULA(SINGLE(TEXTJOIN(""_"",TRUE,D637,G637))), 1, 1)"),"Greater Kansas City Community Foundation_2016")</f>
        <v>Greater Kansas City Community Foundation_2016</v>
      </c>
      <c r="D637" s="4" t="s">
        <v>128</v>
      </c>
      <c r="E637" s="8" t="s">
        <v>46</v>
      </c>
      <c r="F637" s="6">
        <v>10000</v>
      </c>
      <c r="G637" s="4">
        <v>2016</v>
      </c>
      <c r="H637" s="4" t="s">
        <v>361</v>
      </c>
      <c r="I637" s="4"/>
    </row>
    <row r="638" spans="1:9" ht="15.75" customHeight="1" x14ac:dyDescent="0.2">
      <c r="A638" s="4">
        <v>990</v>
      </c>
      <c r="B638" s="4" t="str">
        <f t="shared" si="2"/>
        <v>Grover Hermann Foundation_State Policy Network201630000</v>
      </c>
      <c r="C638" s="4" t="str">
        <f ca="1">IFERROR(__xludf.DUMMYFUNCTION("ARRAY_CONSTRAIN(ARRAYFORMULA(SINGLE(TEXTJOIN(""_"",TRUE,D638,G638))), 1, 1)"),"Grover Hermann Foundation_2016")</f>
        <v>Grover Hermann Foundation_2016</v>
      </c>
      <c r="D638" s="4" t="s">
        <v>38</v>
      </c>
      <c r="E638" s="8" t="s">
        <v>46</v>
      </c>
      <c r="F638" s="6">
        <v>30000</v>
      </c>
      <c r="G638" s="4">
        <v>2016</v>
      </c>
      <c r="H638" s="4" t="s">
        <v>361</v>
      </c>
    </row>
    <row r="639" spans="1:9" ht="15.75" customHeight="1" x14ac:dyDescent="0.2">
      <c r="A639" s="4">
        <v>990</v>
      </c>
      <c r="B639" s="4" t="str">
        <f t="shared" si="2"/>
        <v>Grover Hermann Foundation_State Policy Network201530000</v>
      </c>
      <c r="C639" s="4" t="str">
        <f ca="1">IFERROR(__xludf.DUMMYFUNCTION("ARRAY_CONSTRAIN(ARRAYFORMULA(SINGLE(TEXTJOIN(""_"",TRUE,D639,G639))), 1, 1)"),"Grover Hermann Foundation_2015")</f>
        <v>Grover Hermann Foundation_2015</v>
      </c>
      <c r="D639" s="4" t="s">
        <v>38</v>
      </c>
      <c r="E639" s="8" t="s">
        <v>46</v>
      </c>
      <c r="F639" s="6">
        <v>30000</v>
      </c>
      <c r="G639" s="4">
        <v>2015</v>
      </c>
      <c r="H639" s="4" t="s">
        <v>361</v>
      </c>
    </row>
    <row r="640" spans="1:9" ht="15.75" customHeight="1" x14ac:dyDescent="0.2">
      <c r="A640" s="4">
        <v>990</v>
      </c>
      <c r="B640" s="4" t="str">
        <f t="shared" si="2"/>
        <v>Grover Hermann Foundation_State Policy Network201430000</v>
      </c>
      <c r="C640" s="4" t="str">
        <f ca="1">IFERROR(__xludf.DUMMYFUNCTION("ARRAY_CONSTRAIN(ARRAYFORMULA(SINGLE(TEXTJOIN(""_"",TRUE,D640,G640))), 1, 1)"),"Grover Hermann Foundation_2014")</f>
        <v>Grover Hermann Foundation_2014</v>
      </c>
      <c r="D640" s="4" t="s">
        <v>38</v>
      </c>
      <c r="E640" s="8" t="s">
        <v>46</v>
      </c>
      <c r="F640" s="6">
        <v>30000</v>
      </c>
      <c r="G640" s="4">
        <v>2014</v>
      </c>
      <c r="H640" s="4" t="s">
        <v>361</v>
      </c>
    </row>
    <row r="641" spans="1:9" ht="15.75" customHeight="1" x14ac:dyDescent="0.2">
      <c r="A641" s="4">
        <v>990</v>
      </c>
      <c r="B641" s="4" t="str">
        <f t="shared" si="2"/>
        <v>Grover Hermann Foundation_State Policy Network201310000</v>
      </c>
      <c r="C641" s="4" t="str">
        <f ca="1">IFERROR(__xludf.DUMMYFUNCTION("ARRAY_CONSTRAIN(ARRAYFORMULA(SINGLE(TEXTJOIN(""_"",TRUE,D641,G641))), 1, 1)"),"Grover Hermann Foundation_2013")</f>
        <v>Grover Hermann Foundation_2013</v>
      </c>
      <c r="D641" s="4" t="s">
        <v>38</v>
      </c>
      <c r="E641" s="8" t="s">
        <v>46</v>
      </c>
      <c r="F641" s="6">
        <v>10000</v>
      </c>
      <c r="G641" s="4">
        <v>2013</v>
      </c>
      <c r="H641" s="4" t="s">
        <v>361</v>
      </c>
    </row>
    <row r="642" spans="1:9" ht="15.75" customHeight="1" x14ac:dyDescent="0.2">
      <c r="A642" s="4">
        <v>990</v>
      </c>
      <c r="B642" s="4" t="str">
        <f t="shared" si="2"/>
        <v>Grover Hermann Foundation_State Policy Network201320000</v>
      </c>
      <c r="C642" s="4" t="str">
        <f ca="1">IFERROR(__xludf.DUMMYFUNCTION("ARRAY_CONSTRAIN(ARRAYFORMULA(SINGLE(TEXTJOIN(""_"",TRUE,D642,G642))), 1, 1)"),"Grover Hermann Foundation_2013")</f>
        <v>Grover Hermann Foundation_2013</v>
      </c>
      <c r="D642" s="4" t="s">
        <v>38</v>
      </c>
      <c r="E642" s="8" t="s">
        <v>46</v>
      </c>
      <c r="F642" s="6">
        <v>20000</v>
      </c>
      <c r="G642" s="4">
        <v>2013</v>
      </c>
      <c r="H642" s="4" t="s">
        <v>361</v>
      </c>
    </row>
    <row r="643" spans="1:9" ht="15.75" customHeight="1" x14ac:dyDescent="0.2">
      <c r="A643" s="4">
        <v>990</v>
      </c>
      <c r="B643" s="4" t="str">
        <f t="shared" si="2"/>
        <v>Grover Hermann Foundation_State Policy Network20121000</v>
      </c>
      <c r="C643" s="4" t="str">
        <f ca="1">IFERROR(__xludf.DUMMYFUNCTION("ARRAY_CONSTRAIN(ARRAYFORMULA(SINGLE(TEXTJOIN(""_"",TRUE,D643,G643))), 1, 1)"),"Grover Hermann Foundation_2012")</f>
        <v>Grover Hermann Foundation_2012</v>
      </c>
      <c r="D643" s="4" t="s">
        <v>38</v>
      </c>
      <c r="E643" s="8" t="s">
        <v>46</v>
      </c>
      <c r="F643" s="6">
        <v>1000</v>
      </c>
      <c r="G643" s="4">
        <v>2012</v>
      </c>
      <c r="H643" s="4" t="s">
        <v>361</v>
      </c>
    </row>
    <row r="644" spans="1:9" ht="15.75" customHeight="1" x14ac:dyDescent="0.2">
      <c r="A644" s="4">
        <v>990</v>
      </c>
      <c r="B644" s="4" t="str">
        <f t="shared" si="2"/>
        <v>Grover Hermann Foundation_State Policy Network201210000</v>
      </c>
      <c r="C644" s="4" t="str">
        <f ca="1">IFERROR(__xludf.DUMMYFUNCTION("ARRAY_CONSTRAIN(ARRAYFORMULA(SINGLE(TEXTJOIN(""_"",TRUE,D644,G644))), 1, 1)"),"Grover Hermann Foundation_2012")</f>
        <v>Grover Hermann Foundation_2012</v>
      </c>
      <c r="D644" s="4" t="s">
        <v>38</v>
      </c>
      <c r="E644" s="8" t="s">
        <v>46</v>
      </c>
      <c r="F644" s="6">
        <v>10000</v>
      </c>
      <c r="G644" s="4">
        <v>2012</v>
      </c>
      <c r="H644" s="4" t="s">
        <v>361</v>
      </c>
    </row>
    <row r="645" spans="1:9" ht="15.75" customHeight="1" x14ac:dyDescent="0.2">
      <c r="A645" s="4">
        <v>990</v>
      </c>
      <c r="B645" s="4" t="str">
        <f t="shared" si="2"/>
        <v>Grover Hermann Foundation_State Policy Network201110000</v>
      </c>
      <c r="C645" s="4" t="str">
        <f ca="1">IFERROR(__xludf.DUMMYFUNCTION("ARRAY_CONSTRAIN(ARRAYFORMULA(SINGLE(TEXTJOIN(""_"",TRUE,D645,G645))), 1, 1)"),"Grover Hermann Foundation_2011")</f>
        <v>Grover Hermann Foundation_2011</v>
      </c>
      <c r="D645" s="4" t="s">
        <v>38</v>
      </c>
      <c r="E645" s="8" t="s">
        <v>46</v>
      </c>
      <c r="F645" s="6">
        <v>10000</v>
      </c>
      <c r="G645" s="4">
        <v>2011</v>
      </c>
      <c r="H645" s="4" t="s">
        <v>361</v>
      </c>
    </row>
    <row r="646" spans="1:9" ht="15.75" customHeight="1" x14ac:dyDescent="0.2">
      <c r="A646" s="4">
        <v>990</v>
      </c>
      <c r="B646" s="4" t="str">
        <f t="shared" si="2"/>
        <v>Grover Hermann Foundation_State Policy Network201010000</v>
      </c>
      <c r="C646" s="4" t="str">
        <f ca="1">IFERROR(__xludf.DUMMYFUNCTION("ARRAY_CONSTRAIN(ARRAYFORMULA(SINGLE(TEXTJOIN(""_"",TRUE,D646,G646))), 1, 1)"),"Grover Hermann Foundation_2010")</f>
        <v>Grover Hermann Foundation_2010</v>
      </c>
      <c r="D646" s="4" t="s">
        <v>38</v>
      </c>
      <c r="E646" s="8" t="s">
        <v>46</v>
      </c>
      <c r="F646" s="6">
        <v>10000</v>
      </c>
      <c r="G646" s="4">
        <v>2010</v>
      </c>
      <c r="H646" s="4" t="s">
        <v>361</v>
      </c>
    </row>
    <row r="647" spans="1:9" ht="15.75" customHeight="1" x14ac:dyDescent="0.2">
      <c r="A647" s="4">
        <v>990</v>
      </c>
      <c r="B647" s="4" t="str">
        <f t="shared" si="2"/>
        <v>Grover Hermann Foundation_State Policy Network200910000</v>
      </c>
      <c r="C647" s="4" t="str">
        <f ca="1">IFERROR(__xludf.DUMMYFUNCTION("ARRAY_CONSTRAIN(ARRAYFORMULA(SINGLE(TEXTJOIN(""_"",TRUE,D647,G647))), 1, 1)"),"Grover Hermann Foundation_2009")</f>
        <v>Grover Hermann Foundation_2009</v>
      </c>
      <c r="D647" s="4" t="s">
        <v>38</v>
      </c>
      <c r="E647" s="8" t="s">
        <v>46</v>
      </c>
      <c r="F647" s="6">
        <v>10000</v>
      </c>
      <c r="G647" s="4">
        <v>2009</v>
      </c>
      <c r="H647" s="4" t="s">
        <v>361</v>
      </c>
    </row>
    <row r="648" spans="1:9" ht="15.75" customHeight="1" x14ac:dyDescent="0.2">
      <c r="A648" s="4">
        <v>990</v>
      </c>
      <c r="B648" s="4" t="str">
        <f t="shared" si="2"/>
        <v>Grover Hermann Foundation_State Policy Network200710000</v>
      </c>
      <c r="C648" s="4" t="str">
        <f ca="1">IFERROR(__xludf.DUMMYFUNCTION("ARRAY_CONSTRAIN(ARRAYFORMULA(SINGLE(TEXTJOIN(""_"",TRUE,D648,G648))), 1, 1)"),"Grover Hermann Foundation_2007")</f>
        <v>Grover Hermann Foundation_2007</v>
      </c>
      <c r="D648" s="4" t="s">
        <v>38</v>
      </c>
      <c r="E648" s="8" t="s">
        <v>46</v>
      </c>
      <c r="F648" s="6">
        <v>10000</v>
      </c>
      <c r="G648" s="4">
        <v>2007</v>
      </c>
      <c r="H648" s="4" t="s">
        <v>361</v>
      </c>
    </row>
    <row r="649" spans="1:9" ht="15.75" customHeight="1" x14ac:dyDescent="0.2">
      <c r="A649" s="4">
        <v>990</v>
      </c>
      <c r="B649" s="4" t="str">
        <f t="shared" si="2"/>
        <v>Grover Hermann Foundation_State Policy Network200610000</v>
      </c>
      <c r="C649" s="4" t="str">
        <f ca="1">IFERROR(__xludf.DUMMYFUNCTION("ARRAY_CONSTRAIN(ARRAYFORMULA(SINGLE(TEXTJOIN(""_"",TRUE,D649,G649))), 1, 1)"),"Grover Hermann Foundation_2006")</f>
        <v>Grover Hermann Foundation_2006</v>
      </c>
      <c r="D649" s="4" t="s">
        <v>38</v>
      </c>
      <c r="E649" s="8" t="s">
        <v>46</v>
      </c>
      <c r="F649" s="6">
        <v>10000</v>
      </c>
      <c r="G649" s="4">
        <v>2006</v>
      </c>
      <c r="H649" s="4" t="s">
        <v>361</v>
      </c>
    </row>
    <row r="650" spans="1:9" ht="15.75" customHeight="1" x14ac:dyDescent="0.2">
      <c r="A650" s="4">
        <v>990</v>
      </c>
      <c r="B650" s="4" t="str">
        <f t="shared" si="2"/>
        <v>Grover Hermann Foundation_State Policy Network200410000</v>
      </c>
      <c r="C650" s="4" t="str">
        <f ca="1">IFERROR(__xludf.DUMMYFUNCTION("ARRAY_CONSTRAIN(ARRAYFORMULA(SINGLE(TEXTJOIN(""_"",TRUE,D650,G650))), 1, 1)"),"Grover Hermann Foundation_2004")</f>
        <v>Grover Hermann Foundation_2004</v>
      </c>
      <c r="D650" s="4" t="s">
        <v>38</v>
      </c>
      <c r="E650" s="8" t="s">
        <v>46</v>
      </c>
      <c r="F650" s="6">
        <v>10000</v>
      </c>
      <c r="G650" s="4">
        <v>2004</v>
      </c>
      <c r="H650" s="4" t="s">
        <v>361</v>
      </c>
    </row>
    <row r="651" spans="1:9" ht="15.75" customHeight="1" x14ac:dyDescent="0.2">
      <c r="A651" s="4">
        <v>990</v>
      </c>
      <c r="B651" s="4" t="str">
        <f t="shared" si="2"/>
        <v>Grover Hermann Foundation_State Policy Network200310000</v>
      </c>
      <c r="C651" s="4" t="str">
        <f ca="1">IFERROR(__xludf.DUMMYFUNCTION("ARRAY_CONSTRAIN(ARRAYFORMULA(SINGLE(TEXTJOIN(""_"",TRUE,D651,G651))), 1, 1)"),"Grover Hermann Foundation_2003")</f>
        <v>Grover Hermann Foundation_2003</v>
      </c>
      <c r="D651" s="4" t="s">
        <v>38</v>
      </c>
      <c r="E651" s="8" t="s">
        <v>46</v>
      </c>
      <c r="F651" s="6">
        <v>10000</v>
      </c>
      <c r="G651" s="4">
        <v>2003</v>
      </c>
      <c r="H651" s="4" t="s">
        <v>361</v>
      </c>
    </row>
    <row r="652" spans="1:9" ht="15.75" customHeight="1" x14ac:dyDescent="0.2">
      <c r="A652" s="4">
        <v>990</v>
      </c>
      <c r="B652" s="4" t="str">
        <f t="shared" si="2"/>
        <v>Grover Hermann Foundation_State Policy Network200210000</v>
      </c>
      <c r="C652" s="4" t="str">
        <f ca="1">IFERROR(__xludf.DUMMYFUNCTION("ARRAY_CONSTRAIN(ARRAYFORMULA(SINGLE(TEXTJOIN(""_"",TRUE,D652,G652))), 1, 1)"),"Grover Hermann Foundation_2002")</f>
        <v>Grover Hermann Foundation_2002</v>
      </c>
      <c r="D652" s="4" t="s">
        <v>38</v>
      </c>
      <c r="E652" s="8" t="s">
        <v>46</v>
      </c>
      <c r="F652" s="6">
        <v>10000</v>
      </c>
      <c r="G652" s="4">
        <v>2002</v>
      </c>
      <c r="H652" s="4" t="s">
        <v>361</v>
      </c>
    </row>
    <row r="653" spans="1:9" ht="15.75" customHeight="1" x14ac:dyDescent="0.2">
      <c r="A653" s="4">
        <v>990</v>
      </c>
      <c r="B653" s="4" t="str">
        <f t="shared" si="2"/>
        <v>Grover Hermann Foundation_State Policy Network200110000</v>
      </c>
      <c r="C653" s="4" t="str">
        <f ca="1">IFERROR(__xludf.DUMMYFUNCTION("ARRAY_CONSTRAIN(ARRAYFORMULA(SINGLE(TEXTJOIN(""_"",TRUE,D653,G653))), 1, 1)"),"Grover Hermann Foundation_2001")</f>
        <v>Grover Hermann Foundation_2001</v>
      </c>
      <c r="D653" s="4" t="s">
        <v>38</v>
      </c>
      <c r="E653" s="8" t="s">
        <v>46</v>
      </c>
      <c r="F653" s="6">
        <v>10000</v>
      </c>
      <c r="G653" s="4">
        <v>2001</v>
      </c>
      <c r="H653" s="4" t="s">
        <v>361</v>
      </c>
    </row>
    <row r="654" spans="1:9" ht="15.75" customHeight="1" x14ac:dyDescent="0.2">
      <c r="A654" s="4">
        <v>990</v>
      </c>
      <c r="B654" s="4" t="str">
        <f t="shared" si="2"/>
        <v>Grover Hermann Foundation_State Policy Network200010000</v>
      </c>
      <c r="C654" s="4" t="str">
        <f ca="1">IFERROR(__xludf.DUMMYFUNCTION("ARRAY_CONSTRAIN(ARRAYFORMULA(SINGLE(TEXTJOIN(""_"",TRUE,D654,G654))), 1, 1)"),"Grover Hermann Foundation_2000")</f>
        <v>Grover Hermann Foundation_2000</v>
      </c>
      <c r="D654" s="4" t="s">
        <v>38</v>
      </c>
      <c r="E654" s="8" t="s">
        <v>46</v>
      </c>
      <c r="F654" s="6">
        <v>10000</v>
      </c>
      <c r="G654" s="4">
        <v>2000</v>
      </c>
      <c r="H654" s="4" t="s">
        <v>361</v>
      </c>
    </row>
    <row r="655" spans="1:9" ht="15.75" customHeight="1" x14ac:dyDescent="0.2">
      <c r="A655" s="5" t="s">
        <v>540</v>
      </c>
      <c r="B655" s="4" t="str">
        <f t="shared" si="2"/>
        <v>H and R Peters Family Foundation_State Policy Network2021300</v>
      </c>
      <c r="C655" s="4" t="str">
        <f ca="1">IFERROR(__xludf.DUMMYFUNCTION("ARRAY_CONSTRAIN(ARRAYFORMULA(SINGLE(TEXTJOIN(""_"",TRUE,D655,G655))), 1, 1)"),"H and R Peters Family Foundation_2021")</f>
        <v>H and R Peters Family Foundation_2021</v>
      </c>
      <c r="D655" s="4" t="s">
        <v>207</v>
      </c>
      <c r="E655" s="8" t="s">
        <v>46</v>
      </c>
      <c r="F655" s="6">
        <v>300</v>
      </c>
      <c r="G655" s="4">
        <v>2021</v>
      </c>
      <c r="H655" s="4" t="s">
        <v>361</v>
      </c>
      <c r="I655" s="4"/>
    </row>
    <row r="656" spans="1:9" ht="15.75" customHeight="1" x14ac:dyDescent="0.2">
      <c r="A656" s="5" t="s">
        <v>541</v>
      </c>
      <c r="B656" s="4" t="str">
        <f t="shared" si="2"/>
        <v>H and R Peters Family Foundation_State Policy Network2020100</v>
      </c>
      <c r="C656" s="4" t="str">
        <f ca="1">IFERROR(__xludf.DUMMYFUNCTION("ARRAY_CONSTRAIN(ARRAYFORMULA(SINGLE(TEXTJOIN(""_"",TRUE,D656,G656))), 1, 1)"),"H and R Peters Family Foundation_2020")</f>
        <v>H and R Peters Family Foundation_2020</v>
      </c>
      <c r="D656" s="4" t="s">
        <v>207</v>
      </c>
      <c r="E656" s="8" t="s">
        <v>46</v>
      </c>
      <c r="F656" s="6">
        <v>100</v>
      </c>
      <c r="G656" s="4">
        <v>2020</v>
      </c>
      <c r="H656" s="4" t="s">
        <v>361</v>
      </c>
      <c r="I656" s="4"/>
    </row>
    <row r="657" spans="1:9" ht="15.75" customHeight="1" x14ac:dyDescent="0.2">
      <c r="A657" s="5" t="s">
        <v>542</v>
      </c>
      <c r="B657" s="4" t="str">
        <f t="shared" si="2"/>
        <v>Hardie Family Foundation_State Policy Network2013100</v>
      </c>
      <c r="C657" s="4" t="str">
        <f ca="1">IFERROR(__xludf.DUMMYFUNCTION("ARRAY_CONSTRAIN(ARRAYFORMULA(SINGLE(TEXTJOIN(""_"",TRUE,D657,G657))), 1, 1)"),"Hardie Family Foundation_2013")</f>
        <v>Hardie Family Foundation_2013</v>
      </c>
      <c r="D657" s="4" t="s">
        <v>227</v>
      </c>
      <c r="E657" s="8" t="s">
        <v>46</v>
      </c>
      <c r="F657" s="6">
        <v>100</v>
      </c>
      <c r="G657" s="4">
        <v>2013</v>
      </c>
      <c r="H657" s="4" t="s">
        <v>361</v>
      </c>
      <c r="I657" s="4"/>
    </row>
    <row r="658" spans="1:9" ht="15.75" customHeight="1" x14ac:dyDescent="0.2">
      <c r="A658" s="4">
        <v>990</v>
      </c>
      <c r="B658" s="4" t="str">
        <f t="shared" si="2"/>
        <v>Hayden Foundation_State Policy Network2021100</v>
      </c>
      <c r="C658" s="4" t="str">
        <f ca="1">IFERROR(__xludf.DUMMYFUNCTION("ARRAY_CONSTRAIN(ARRAYFORMULA(SINGLE(TEXTJOIN(""_"",TRUE,D658,G658))), 1, 1)"),"Hayden Foundation_2021")</f>
        <v>Hayden Foundation_2021</v>
      </c>
      <c r="D658" s="4" t="s">
        <v>142</v>
      </c>
      <c r="E658" s="8" t="s">
        <v>46</v>
      </c>
      <c r="F658" s="6">
        <v>100</v>
      </c>
      <c r="G658" s="4">
        <v>2021</v>
      </c>
      <c r="H658" s="4" t="s">
        <v>361</v>
      </c>
    </row>
    <row r="659" spans="1:9" ht="15.75" customHeight="1" x14ac:dyDescent="0.2">
      <c r="A659" s="4">
        <v>990</v>
      </c>
      <c r="B659" s="4" t="str">
        <f t="shared" si="2"/>
        <v>Hayden Foundation_State Policy Network2020100</v>
      </c>
      <c r="C659" s="4" t="str">
        <f ca="1">IFERROR(__xludf.DUMMYFUNCTION("ARRAY_CONSTRAIN(ARRAYFORMULA(SINGLE(TEXTJOIN(""_"",TRUE,D659,G659))), 1, 1)"),"Hayden Foundation_2020")</f>
        <v>Hayden Foundation_2020</v>
      </c>
      <c r="D659" s="4" t="s">
        <v>142</v>
      </c>
      <c r="E659" s="8" t="s">
        <v>46</v>
      </c>
      <c r="F659" s="6">
        <v>100</v>
      </c>
      <c r="G659" s="4">
        <v>2020</v>
      </c>
      <c r="H659" s="4" t="s">
        <v>361</v>
      </c>
    </row>
    <row r="660" spans="1:9" ht="15.75" customHeight="1" x14ac:dyDescent="0.2">
      <c r="A660" s="4">
        <v>990</v>
      </c>
      <c r="B660" s="4" t="str">
        <f t="shared" si="2"/>
        <v>Hayden Foundation_State Policy Network2019100</v>
      </c>
      <c r="C660" s="4" t="str">
        <f ca="1">IFERROR(__xludf.DUMMYFUNCTION("ARRAY_CONSTRAIN(ARRAYFORMULA(SINGLE(TEXTJOIN(""_"",TRUE,D660,G660))), 1, 1)"),"Hayden Foundation_2019")</f>
        <v>Hayden Foundation_2019</v>
      </c>
      <c r="D660" s="4" t="s">
        <v>142</v>
      </c>
      <c r="E660" s="8" t="s">
        <v>46</v>
      </c>
      <c r="F660" s="6">
        <v>100</v>
      </c>
      <c r="G660" s="4">
        <v>2019</v>
      </c>
      <c r="H660" s="4" t="s">
        <v>361</v>
      </c>
    </row>
    <row r="661" spans="1:9" ht="15.75" customHeight="1" x14ac:dyDescent="0.2">
      <c r="A661" s="4">
        <v>990</v>
      </c>
      <c r="B661" s="4" t="str">
        <f t="shared" si="2"/>
        <v>Hayden Foundation_State Policy Network2018100</v>
      </c>
      <c r="C661" s="4" t="str">
        <f ca="1">IFERROR(__xludf.DUMMYFUNCTION("ARRAY_CONSTRAIN(ARRAYFORMULA(SINGLE(TEXTJOIN(""_"",TRUE,D661,G661))), 1, 1)"),"Hayden Foundation_2018")</f>
        <v>Hayden Foundation_2018</v>
      </c>
      <c r="D661" s="4" t="s">
        <v>142</v>
      </c>
      <c r="E661" s="8" t="s">
        <v>46</v>
      </c>
      <c r="F661" s="6">
        <v>100</v>
      </c>
      <c r="G661" s="4">
        <v>2018</v>
      </c>
      <c r="H661" s="4" t="s">
        <v>361</v>
      </c>
    </row>
    <row r="662" spans="1:9" ht="15.75" customHeight="1" x14ac:dyDescent="0.2">
      <c r="A662" s="4">
        <v>990</v>
      </c>
      <c r="B662" s="4" t="str">
        <f t="shared" si="2"/>
        <v>Hayden Foundation_State Policy Network2017100</v>
      </c>
      <c r="C662" s="4" t="str">
        <f ca="1">IFERROR(__xludf.DUMMYFUNCTION("ARRAY_CONSTRAIN(ARRAYFORMULA(SINGLE(TEXTJOIN(""_"",TRUE,D662,G662))), 1, 1)"),"Hayden Foundation_2017")</f>
        <v>Hayden Foundation_2017</v>
      </c>
      <c r="D662" s="4" t="s">
        <v>142</v>
      </c>
      <c r="E662" s="8" t="s">
        <v>46</v>
      </c>
      <c r="F662" s="6">
        <v>100</v>
      </c>
      <c r="G662" s="4">
        <v>2017</v>
      </c>
      <c r="H662" s="4" t="s">
        <v>361</v>
      </c>
    </row>
    <row r="663" spans="1:9" ht="15.75" customHeight="1" x14ac:dyDescent="0.2">
      <c r="A663" s="4">
        <v>990</v>
      </c>
      <c r="B663" s="4" t="str">
        <f t="shared" si="2"/>
        <v>Hayden Foundation_State Policy Network2015100</v>
      </c>
      <c r="C663" s="4" t="str">
        <f ca="1">IFERROR(__xludf.DUMMYFUNCTION("ARRAY_CONSTRAIN(ARRAYFORMULA(SINGLE(TEXTJOIN(""_"",TRUE,D663,G663))), 1, 1)"),"Hayden Foundation_2015")</f>
        <v>Hayden Foundation_2015</v>
      </c>
      <c r="D663" s="4" t="s">
        <v>142</v>
      </c>
      <c r="E663" s="8" t="s">
        <v>46</v>
      </c>
      <c r="F663" s="6">
        <v>100</v>
      </c>
      <c r="G663" s="4">
        <v>2015</v>
      </c>
      <c r="H663" s="4" t="s">
        <v>361</v>
      </c>
    </row>
    <row r="664" spans="1:9" ht="15.75" customHeight="1" x14ac:dyDescent="0.2">
      <c r="A664" s="4">
        <v>990</v>
      </c>
      <c r="B664" s="4" t="str">
        <f t="shared" si="2"/>
        <v>Hayden Foundation_State Policy Network2014100</v>
      </c>
      <c r="C664" s="4" t="str">
        <f ca="1">IFERROR(__xludf.DUMMYFUNCTION("ARRAY_CONSTRAIN(ARRAYFORMULA(SINGLE(TEXTJOIN(""_"",TRUE,D664,G664))), 1, 1)"),"Hayden Foundation_2014")</f>
        <v>Hayden Foundation_2014</v>
      </c>
      <c r="D664" s="4" t="s">
        <v>142</v>
      </c>
      <c r="E664" s="8" t="s">
        <v>46</v>
      </c>
      <c r="F664" s="6">
        <v>100</v>
      </c>
      <c r="G664" s="4">
        <v>2014</v>
      </c>
      <c r="H664" s="4" t="s">
        <v>361</v>
      </c>
    </row>
    <row r="665" spans="1:9" ht="15.75" customHeight="1" x14ac:dyDescent="0.2">
      <c r="A665" s="4">
        <v>990</v>
      </c>
      <c r="B665" s="4" t="str">
        <f t="shared" si="2"/>
        <v>Hayden Foundation_State Policy Network2013100</v>
      </c>
      <c r="C665" s="4" t="str">
        <f ca="1">IFERROR(__xludf.DUMMYFUNCTION("ARRAY_CONSTRAIN(ARRAYFORMULA(SINGLE(TEXTJOIN(""_"",TRUE,D665,G665))), 1, 1)"),"Hayden Foundation_2013")</f>
        <v>Hayden Foundation_2013</v>
      </c>
      <c r="D665" s="4" t="s">
        <v>142</v>
      </c>
      <c r="E665" s="8" t="s">
        <v>46</v>
      </c>
      <c r="F665" s="6">
        <v>100</v>
      </c>
      <c r="G665" s="4">
        <v>2013</v>
      </c>
      <c r="H665" s="4" t="s">
        <v>361</v>
      </c>
    </row>
    <row r="666" spans="1:9" ht="15.75" customHeight="1" x14ac:dyDescent="0.2">
      <c r="A666" s="4">
        <v>990</v>
      </c>
      <c r="B666" s="4" t="str">
        <f t="shared" si="2"/>
        <v>Hayden Foundation_State Policy Network20114000</v>
      </c>
      <c r="C666" s="4" t="str">
        <f ca="1">IFERROR(__xludf.DUMMYFUNCTION("ARRAY_CONSTRAIN(ARRAYFORMULA(SINGLE(TEXTJOIN(""_"",TRUE,D666,G666))), 1, 1)"),"Hayden Foundation_2011")</f>
        <v>Hayden Foundation_2011</v>
      </c>
      <c r="D666" s="4" t="s">
        <v>142</v>
      </c>
      <c r="E666" s="8" t="s">
        <v>46</v>
      </c>
      <c r="F666" s="6">
        <v>4000</v>
      </c>
      <c r="G666" s="4">
        <v>2011</v>
      </c>
      <c r="H666" s="4" t="s">
        <v>361</v>
      </c>
    </row>
    <row r="667" spans="1:9" ht="15.75" customHeight="1" x14ac:dyDescent="0.2">
      <c r="A667" s="4">
        <v>990</v>
      </c>
      <c r="B667" s="4" t="str">
        <f t="shared" si="2"/>
        <v>Hayden Foundation_State Policy Network20101000</v>
      </c>
      <c r="C667" s="4" t="str">
        <f ca="1">IFERROR(__xludf.DUMMYFUNCTION("ARRAY_CONSTRAIN(ARRAYFORMULA(SINGLE(TEXTJOIN(""_"",TRUE,D667,G667))), 1, 1)"),"Hayden Foundation_2010")</f>
        <v>Hayden Foundation_2010</v>
      </c>
      <c r="D667" s="4" t="s">
        <v>142</v>
      </c>
      <c r="E667" s="8" t="s">
        <v>46</v>
      </c>
      <c r="F667" s="6">
        <v>1000</v>
      </c>
      <c r="G667" s="4">
        <v>2010</v>
      </c>
      <c r="H667" s="4" t="s">
        <v>361</v>
      </c>
    </row>
    <row r="668" spans="1:9" ht="15.75" customHeight="1" x14ac:dyDescent="0.2">
      <c r="A668" s="4">
        <v>990</v>
      </c>
      <c r="B668" s="4" t="str">
        <f t="shared" si="2"/>
        <v>Hayden Foundation_State Policy Network20091000</v>
      </c>
      <c r="C668" s="4" t="str">
        <f ca="1">IFERROR(__xludf.DUMMYFUNCTION("ARRAY_CONSTRAIN(ARRAYFORMULA(SINGLE(TEXTJOIN(""_"",TRUE,D668,G668))), 1, 1)"),"Hayden Foundation_2009")</f>
        <v>Hayden Foundation_2009</v>
      </c>
      <c r="D668" s="4" t="s">
        <v>142</v>
      </c>
      <c r="E668" s="8" t="s">
        <v>46</v>
      </c>
      <c r="F668" s="6">
        <v>1000</v>
      </c>
      <c r="G668" s="4">
        <v>2009</v>
      </c>
      <c r="H668" s="4" t="s">
        <v>361</v>
      </c>
    </row>
    <row r="669" spans="1:9" ht="15.75" customHeight="1" x14ac:dyDescent="0.2">
      <c r="A669" s="4">
        <v>990</v>
      </c>
      <c r="B669" s="4" t="str">
        <f t="shared" si="2"/>
        <v>Henderson Foundation_State Policy Network20213000</v>
      </c>
      <c r="C669" s="4" t="str">
        <f ca="1">IFERROR(__xludf.DUMMYFUNCTION("ARRAY_CONSTRAIN(ARRAYFORMULA(SINGLE(TEXTJOIN(""_"",TRUE,D669,G669))), 1, 1)"),"Henderson Foundation_2021")</f>
        <v>Henderson Foundation_2021</v>
      </c>
      <c r="D669" s="4" t="s">
        <v>88</v>
      </c>
      <c r="E669" s="8" t="s">
        <v>46</v>
      </c>
      <c r="F669" s="6">
        <v>3000</v>
      </c>
      <c r="G669" s="4">
        <v>2021</v>
      </c>
      <c r="H669" s="4" t="s">
        <v>361</v>
      </c>
    </row>
    <row r="670" spans="1:9" ht="15.75" customHeight="1" x14ac:dyDescent="0.2">
      <c r="A670" s="4">
        <v>990</v>
      </c>
      <c r="B670" s="4" t="str">
        <f t="shared" si="2"/>
        <v>Henderson Foundation_State Policy Network20202000</v>
      </c>
      <c r="C670" s="4" t="str">
        <f ca="1">IFERROR(__xludf.DUMMYFUNCTION("ARRAY_CONSTRAIN(ARRAYFORMULA(SINGLE(TEXTJOIN(""_"",TRUE,D670,G670))), 1, 1)"),"Henderson Foundation_2020")</f>
        <v>Henderson Foundation_2020</v>
      </c>
      <c r="D670" s="4" t="s">
        <v>88</v>
      </c>
      <c r="E670" s="8" t="s">
        <v>46</v>
      </c>
      <c r="F670" s="6">
        <v>2000</v>
      </c>
      <c r="G670" s="4">
        <v>2020</v>
      </c>
      <c r="H670" s="4" t="s">
        <v>361</v>
      </c>
    </row>
    <row r="671" spans="1:9" ht="15.75" customHeight="1" x14ac:dyDescent="0.2">
      <c r="A671" s="4">
        <v>990</v>
      </c>
      <c r="B671" s="4" t="str">
        <f t="shared" si="2"/>
        <v>Henderson Foundation_State Policy Network20192000</v>
      </c>
      <c r="C671" s="4" t="str">
        <f ca="1">IFERROR(__xludf.DUMMYFUNCTION("ARRAY_CONSTRAIN(ARRAYFORMULA(SINGLE(TEXTJOIN(""_"",TRUE,D671,G671))), 1, 1)"),"Henderson Foundation_2019")</f>
        <v>Henderson Foundation_2019</v>
      </c>
      <c r="D671" s="4" t="s">
        <v>88</v>
      </c>
      <c r="E671" s="8" t="s">
        <v>46</v>
      </c>
      <c r="F671" s="6">
        <v>2000</v>
      </c>
      <c r="G671" s="4">
        <v>2019</v>
      </c>
      <c r="H671" s="4" t="s">
        <v>361</v>
      </c>
    </row>
    <row r="672" spans="1:9" ht="15.75" customHeight="1" x14ac:dyDescent="0.2">
      <c r="A672" s="4">
        <v>990</v>
      </c>
      <c r="B672" s="4" t="str">
        <f t="shared" si="2"/>
        <v>Henderson Foundation_State Policy Network20182000</v>
      </c>
      <c r="C672" s="4" t="str">
        <f ca="1">IFERROR(__xludf.DUMMYFUNCTION("ARRAY_CONSTRAIN(ARRAYFORMULA(SINGLE(TEXTJOIN(""_"",TRUE,D672,G672))), 1, 1)"),"Henderson Foundation_2018")</f>
        <v>Henderson Foundation_2018</v>
      </c>
      <c r="D672" s="4" t="s">
        <v>88</v>
      </c>
      <c r="E672" s="8" t="s">
        <v>46</v>
      </c>
      <c r="F672" s="6">
        <v>2000</v>
      </c>
      <c r="G672" s="4">
        <v>2018</v>
      </c>
      <c r="H672" s="4" t="s">
        <v>361</v>
      </c>
    </row>
    <row r="673" spans="1:8" ht="15.75" customHeight="1" x14ac:dyDescent="0.2">
      <c r="A673" s="4">
        <v>990</v>
      </c>
      <c r="B673" s="4" t="str">
        <f t="shared" si="2"/>
        <v>Henderson Foundation_State Policy Network20173000</v>
      </c>
      <c r="C673" s="4" t="str">
        <f ca="1">IFERROR(__xludf.DUMMYFUNCTION("ARRAY_CONSTRAIN(ARRAYFORMULA(SINGLE(TEXTJOIN(""_"",TRUE,D673,G673))), 1, 1)"),"Henderson Foundation_2017")</f>
        <v>Henderson Foundation_2017</v>
      </c>
      <c r="D673" s="4" t="s">
        <v>88</v>
      </c>
      <c r="E673" s="8" t="s">
        <v>46</v>
      </c>
      <c r="F673" s="6">
        <v>3000</v>
      </c>
      <c r="G673" s="4">
        <v>2017</v>
      </c>
      <c r="H673" s="4" t="s">
        <v>361</v>
      </c>
    </row>
    <row r="674" spans="1:8" ht="15.75" customHeight="1" x14ac:dyDescent="0.2">
      <c r="A674" s="4">
        <v>990</v>
      </c>
      <c r="B674" s="4" t="str">
        <f t="shared" si="2"/>
        <v>Henderson Foundation_State Policy Network20164000</v>
      </c>
      <c r="C674" s="4" t="str">
        <f ca="1">IFERROR(__xludf.DUMMYFUNCTION("ARRAY_CONSTRAIN(ARRAYFORMULA(SINGLE(TEXTJOIN(""_"",TRUE,D674,G674))), 1, 1)"),"Henderson Foundation_2016")</f>
        <v>Henderson Foundation_2016</v>
      </c>
      <c r="D674" s="4" t="s">
        <v>88</v>
      </c>
      <c r="E674" s="8" t="s">
        <v>46</v>
      </c>
      <c r="F674" s="6">
        <v>4000</v>
      </c>
      <c r="G674" s="4">
        <v>2016</v>
      </c>
      <c r="H674" s="4" t="s">
        <v>361</v>
      </c>
    </row>
    <row r="675" spans="1:8" ht="15.75" customHeight="1" x14ac:dyDescent="0.2">
      <c r="A675" s="4">
        <v>990</v>
      </c>
      <c r="B675" s="4" t="str">
        <f t="shared" si="2"/>
        <v>Henderson Foundation_State Policy Network20154000</v>
      </c>
      <c r="C675" s="4" t="str">
        <f ca="1">IFERROR(__xludf.DUMMYFUNCTION("ARRAY_CONSTRAIN(ARRAYFORMULA(SINGLE(TEXTJOIN(""_"",TRUE,D675,G675))), 1, 1)"),"Henderson Foundation_2015")</f>
        <v>Henderson Foundation_2015</v>
      </c>
      <c r="D675" s="4" t="s">
        <v>88</v>
      </c>
      <c r="E675" s="8" t="s">
        <v>46</v>
      </c>
      <c r="F675" s="6">
        <v>4000</v>
      </c>
      <c r="G675" s="4">
        <v>2015</v>
      </c>
      <c r="H675" s="4" t="s">
        <v>361</v>
      </c>
    </row>
    <row r="676" spans="1:8" ht="15.75" customHeight="1" x14ac:dyDescent="0.2">
      <c r="A676" s="4">
        <v>990</v>
      </c>
      <c r="B676" s="4" t="str">
        <f t="shared" si="2"/>
        <v>Henderson Foundation_State Policy Network20144000</v>
      </c>
      <c r="C676" s="4" t="str">
        <f ca="1">IFERROR(__xludf.DUMMYFUNCTION("ARRAY_CONSTRAIN(ARRAYFORMULA(SINGLE(TEXTJOIN(""_"",TRUE,D676,G676))), 1, 1)"),"Henderson Foundation_2014")</f>
        <v>Henderson Foundation_2014</v>
      </c>
      <c r="D676" s="4" t="s">
        <v>88</v>
      </c>
      <c r="E676" s="8" t="s">
        <v>46</v>
      </c>
      <c r="F676" s="6">
        <v>4000</v>
      </c>
      <c r="G676" s="4">
        <v>2014</v>
      </c>
      <c r="H676" s="4" t="s">
        <v>361</v>
      </c>
    </row>
    <row r="677" spans="1:8" ht="15.75" customHeight="1" x14ac:dyDescent="0.2">
      <c r="A677" s="4">
        <v>990</v>
      </c>
      <c r="B677" s="4" t="str">
        <f t="shared" si="2"/>
        <v>Henderson Foundation_State Policy Network20132000</v>
      </c>
      <c r="C677" s="4" t="str">
        <f ca="1">IFERROR(__xludf.DUMMYFUNCTION("ARRAY_CONSTRAIN(ARRAYFORMULA(SINGLE(TEXTJOIN(""_"",TRUE,D677,G677))), 1, 1)"),"Henderson Foundation_2013")</f>
        <v>Henderson Foundation_2013</v>
      </c>
      <c r="D677" s="4" t="s">
        <v>88</v>
      </c>
      <c r="E677" s="8" t="s">
        <v>46</v>
      </c>
      <c r="F677" s="6">
        <v>2000</v>
      </c>
      <c r="G677" s="4">
        <v>2013</v>
      </c>
      <c r="H677" s="4" t="s">
        <v>361</v>
      </c>
    </row>
    <row r="678" spans="1:8" ht="15.75" customHeight="1" x14ac:dyDescent="0.2">
      <c r="A678" s="4">
        <v>990</v>
      </c>
      <c r="B678" s="4" t="str">
        <f t="shared" si="2"/>
        <v>Henderson Foundation_State Policy Network20121000</v>
      </c>
      <c r="C678" s="4" t="str">
        <f ca="1">IFERROR(__xludf.DUMMYFUNCTION("ARRAY_CONSTRAIN(ARRAYFORMULA(SINGLE(TEXTJOIN(""_"",TRUE,D678,G678))), 1, 1)"),"Henderson Foundation_2012")</f>
        <v>Henderson Foundation_2012</v>
      </c>
      <c r="D678" s="4" t="s">
        <v>88</v>
      </c>
      <c r="E678" s="8" t="s">
        <v>46</v>
      </c>
      <c r="F678" s="6">
        <v>1000</v>
      </c>
      <c r="G678" s="4">
        <v>2012</v>
      </c>
      <c r="H678" s="4" t="s">
        <v>361</v>
      </c>
    </row>
    <row r="679" spans="1:8" ht="15.75" customHeight="1" x14ac:dyDescent="0.2">
      <c r="A679" s="4">
        <v>990</v>
      </c>
      <c r="B679" s="4" t="str">
        <f t="shared" si="2"/>
        <v>Henderson Foundation_State Policy Network20112000</v>
      </c>
      <c r="C679" s="4" t="str">
        <f ca="1">IFERROR(__xludf.DUMMYFUNCTION("ARRAY_CONSTRAIN(ARRAYFORMULA(SINGLE(TEXTJOIN(""_"",TRUE,D679,G679))), 1, 1)"),"Henderson Foundation_2011")</f>
        <v>Henderson Foundation_2011</v>
      </c>
      <c r="D679" s="4" t="s">
        <v>88</v>
      </c>
      <c r="E679" s="8" t="s">
        <v>46</v>
      </c>
      <c r="F679" s="6">
        <v>2000</v>
      </c>
      <c r="G679" s="4">
        <v>2011</v>
      </c>
      <c r="H679" s="4" t="s">
        <v>361</v>
      </c>
    </row>
    <row r="680" spans="1:8" ht="15.75" customHeight="1" x14ac:dyDescent="0.2">
      <c r="A680" s="4" t="s">
        <v>543</v>
      </c>
      <c r="B680" s="4" t="str">
        <f t="shared" si="2"/>
        <v>Holmes Family Foundation_State Policy Network20211000</v>
      </c>
      <c r="C680" s="4" t="str">
        <f ca="1">IFERROR(__xludf.DUMMYFUNCTION("ARRAY_CONSTRAIN(ARRAYFORMULA(SINGLE(TEXTJOIN(""_"",TRUE,D680,G680))), 1, 1)"),"Holmes Family Foundation_2021")</f>
        <v>Holmes Family Foundation_2021</v>
      </c>
      <c r="D680" s="4" t="s">
        <v>184</v>
      </c>
      <c r="E680" s="8" t="s">
        <v>46</v>
      </c>
      <c r="F680" s="6">
        <v>1000</v>
      </c>
      <c r="G680" s="4">
        <v>2021</v>
      </c>
      <c r="H680" s="4" t="s">
        <v>361</v>
      </c>
    </row>
    <row r="681" spans="1:8" ht="15.75" customHeight="1" x14ac:dyDescent="0.2">
      <c r="A681" s="5" t="s">
        <v>544</v>
      </c>
      <c r="B681" s="4" t="str">
        <f t="shared" si="2"/>
        <v>HTMF Foundation_State Policy Network20162500</v>
      </c>
      <c r="C681" s="4" t="str">
        <f ca="1">IFERROR(__xludf.DUMMYFUNCTION("ARRAY_CONSTRAIN(ARRAYFORMULA(SINGLE(TEXTJOIN(""_"",TRUE,D681,G681))), 1, 1)"),"HTMF Foundation_2016")</f>
        <v>HTMF Foundation_2016</v>
      </c>
      <c r="D681" s="4" t="s">
        <v>161</v>
      </c>
      <c r="E681" s="8" t="s">
        <v>46</v>
      </c>
      <c r="F681" s="6">
        <v>2500</v>
      </c>
      <c r="G681" s="4">
        <v>2016</v>
      </c>
      <c r="H681" s="4" t="s">
        <v>361</v>
      </c>
    </row>
    <row r="682" spans="1:8" ht="15.75" customHeight="1" x14ac:dyDescent="0.2">
      <c r="A682" s="5" t="s">
        <v>545</v>
      </c>
      <c r="B682" s="4" t="str">
        <f t="shared" si="2"/>
        <v>Hughes Family Foundation_State Policy Network20185000</v>
      </c>
      <c r="C682" s="4" t="str">
        <f ca="1">IFERROR(__xludf.DUMMYFUNCTION("ARRAY_CONSTRAIN(ARRAYFORMULA(SINGLE(TEXTJOIN(""_"",TRUE,D682,G682))), 1, 1)"),"Hughes Family Foundation_2018")</f>
        <v>Hughes Family Foundation_2018</v>
      </c>
      <c r="D682" s="4" t="s">
        <v>123</v>
      </c>
      <c r="E682" s="8" t="s">
        <v>46</v>
      </c>
      <c r="F682" s="6">
        <v>5000</v>
      </c>
      <c r="G682" s="4">
        <v>2018</v>
      </c>
      <c r="H682" s="4" t="s">
        <v>361</v>
      </c>
    </row>
    <row r="683" spans="1:8" ht="15.75" customHeight="1" x14ac:dyDescent="0.2">
      <c r="A683" s="5" t="s">
        <v>546</v>
      </c>
      <c r="B683" s="4" t="str">
        <f t="shared" si="2"/>
        <v>Hughes Family Foundation_State Policy Network20175000</v>
      </c>
      <c r="C683" s="4" t="str">
        <f ca="1">IFERROR(__xludf.DUMMYFUNCTION("ARRAY_CONSTRAIN(ARRAYFORMULA(SINGLE(TEXTJOIN(""_"",TRUE,D683,G683))), 1, 1)"),"Hughes Family Foundation_2017")</f>
        <v>Hughes Family Foundation_2017</v>
      </c>
      <c r="D683" s="4" t="s">
        <v>123</v>
      </c>
      <c r="E683" s="8" t="s">
        <v>46</v>
      </c>
      <c r="F683" s="6">
        <v>5000</v>
      </c>
      <c r="G683" s="4">
        <v>2017</v>
      </c>
      <c r="H683" s="4" t="s">
        <v>361</v>
      </c>
    </row>
    <row r="684" spans="1:8" ht="15.75" customHeight="1" x14ac:dyDescent="0.2">
      <c r="A684" s="5" t="s">
        <v>547</v>
      </c>
      <c r="B684" s="4" t="str">
        <f t="shared" si="2"/>
        <v>Hughes Family Foundation_State Policy Network20121000</v>
      </c>
      <c r="C684" s="4" t="str">
        <f ca="1">IFERROR(__xludf.DUMMYFUNCTION("ARRAY_CONSTRAIN(ARRAYFORMULA(SINGLE(TEXTJOIN(""_"",TRUE,D684,G684))), 1, 1)"),"Hughes Family Foundation_2012")</f>
        <v>Hughes Family Foundation_2012</v>
      </c>
      <c r="D684" s="4" t="s">
        <v>123</v>
      </c>
      <c r="E684" s="8" t="s">
        <v>46</v>
      </c>
      <c r="F684" s="6">
        <v>1000</v>
      </c>
      <c r="G684" s="4">
        <v>2012</v>
      </c>
      <c r="H684" s="4" t="s">
        <v>361</v>
      </c>
    </row>
    <row r="685" spans="1:8" ht="15.75" customHeight="1" x14ac:dyDescent="0.2">
      <c r="A685" s="4" t="s">
        <v>368</v>
      </c>
      <c r="B685" s="4" t="str">
        <f t="shared" si="2"/>
        <v>Institute for Humane Studies_State Policy Network201360133</v>
      </c>
      <c r="C685" s="4" t="str">
        <f ca="1">IFERROR(__xludf.DUMMYFUNCTION("ARRAY_CONSTRAIN(ARRAYFORMULA(SINGLE(TEXTJOIN(""_"",TRUE,D685,G685))), 1, 1)"),"Institute for Humane Studies_2013")</f>
        <v>Institute for Humane Studies_2013</v>
      </c>
      <c r="D685" s="4" t="s">
        <v>53</v>
      </c>
      <c r="E685" s="8" t="s">
        <v>46</v>
      </c>
      <c r="F685" s="6">
        <v>60133</v>
      </c>
      <c r="G685" s="4">
        <v>2013</v>
      </c>
    </row>
    <row r="686" spans="1:8" ht="15.75" customHeight="1" x14ac:dyDescent="0.2">
      <c r="A686" s="4" t="s">
        <v>368</v>
      </c>
      <c r="B686" s="4" t="str">
        <f t="shared" si="2"/>
        <v>Institute for Humane Studies_State Policy Network200934618</v>
      </c>
      <c r="C686" s="4" t="str">
        <f ca="1">IFERROR(__xludf.DUMMYFUNCTION("ARRAY_CONSTRAIN(ARRAYFORMULA(SINGLE(TEXTJOIN(""_"",TRUE,D686,G686))), 1, 1)"),"Institute for Humane Studies_2009")</f>
        <v>Institute for Humane Studies_2009</v>
      </c>
      <c r="D686" s="4" t="s">
        <v>53</v>
      </c>
      <c r="E686" s="8" t="s">
        <v>46</v>
      </c>
      <c r="F686" s="6">
        <v>34618</v>
      </c>
      <c r="G686" s="4">
        <v>2009</v>
      </c>
    </row>
    <row r="687" spans="1:8" ht="15.75" customHeight="1" x14ac:dyDescent="0.2">
      <c r="A687" s="4">
        <v>990</v>
      </c>
      <c r="B687" s="4" t="str">
        <f t="shared" si="2"/>
        <v>Institute for Justice_State Policy Network202220000</v>
      </c>
      <c r="C687" s="4" t="str">
        <f ca="1">IFERROR(__xludf.DUMMYFUNCTION("ARRAY_CONSTRAIN(ARRAYFORMULA(SINGLE(TEXTJOIN(""_"",TRUE,D687,G687))), 1, 1)"),"Institute for Justice_2022")</f>
        <v>Institute for Justice_2022</v>
      </c>
      <c r="D687" s="4" t="s">
        <v>47</v>
      </c>
      <c r="E687" s="8" t="s">
        <v>46</v>
      </c>
      <c r="F687" s="6">
        <v>20000</v>
      </c>
      <c r="G687" s="4">
        <v>2022</v>
      </c>
      <c r="H687" s="4" t="s">
        <v>361</v>
      </c>
    </row>
    <row r="688" spans="1:8" ht="15.75" customHeight="1" x14ac:dyDescent="0.2">
      <c r="A688" s="4">
        <v>990</v>
      </c>
      <c r="B688" s="4" t="str">
        <f t="shared" si="2"/>
        <v>Institute for Justice_State Policy Network202120000</v>
      </c>
      <c r="C688" s="4" t="str">
        <f ca="1">IFERROR(__xludf.DUMMYFUNCTION("ARRAY_CONSTRAIN(ARRAYFORMULA(SINGLE(TEXTJOIN(""_"",TRUE,D688,G688))), 1, 1)"),"Institute for Justice_2021")</f>
        <v>Institute for Justice_2021</v>
      </c>
      <c r="D688" s="4" t="s">
        <v>47</v>
      </c>
      <c r="E688" s="8" t="s">
        <v>46</v>
      </c>
      <c r="F688" s="6">
        <v>20000</v>
      </c>
      <c r="G688" s="4">
        <v>2021</v>
      </c>
      <c r="H688" s="4" t="s">
        <v>361</v>
      </c>
    </row>
    <row r="689" spans="1:8" ht="15.75" customHeight="1" x14ac:dyDescent="0.2">
      <c r="A689" s="4">
        <v>990</v>
      </c>
      <c r="B689" s="4" t="str">
        <f t="shared" si="2"/>
        <v>Institute for Justice_State Policy Network202020000</v>
      </c>
      <c r="C689" s="4" t="str">
        <f ca="1">IFERROR(__xludf.DUMMYFUNCTION("ARRAY_CONSTRAIN(ARRAYFORMULA(SINGLE(TEXTJOIN(""_"",TRUE,D689,G689))), 1, 1)"),"Institute for Justice_2020")</f>
        <v>Institute for Justice_2020</v>
      </c>
      <c r="D689" s="4" t="s">
        <v>47</v>
      </c>
      <c r="E689" s="8" t="s">
        <v>46</v>
      </c>
      <c r="F689" s="6">
        <v>20000</v>
      </c>
      <c r="G689" s="4">
        <v>2020</v>
      </c>
      <c r="H689" s="4" t="s">
        <v>361</v>
      </c>
    </row>
    <row r="690" spans="1:8" ht="15.75" customHeight="1" x14ac:dyDescent="0.2">
      <c r="A690" s="4">
        <v>990</v>
      </c>
      <c r="B690" s="4" t="str">
        <f t="shared" si="2"/>
        <v>Institute for Justice_State Policy Network201920000</v>
      </c>
      <c r="C690" s="4" t="str">
        <f ca="1">IFERROR(__xludf.DUMMYFUNCTION("ARRAY_CONSTRAIN(ARRAYFORMULA(SINGLE(TEXTJOIN(""_"",TRUE,D690,G690))), 1, 1)"),"Institute for Justice_2019")</f>
        <v>Institute for Justice_2019</v>
      </c>
      <c r="D690" s="4" t="s">
        <v>47</v>
      </c>
      <c r="E690" s="8" t="s">
        <v>46</v>
      </c>
      <c r="F690" s="6">
        <v>20000</v>
      </c>
      <c r="G690" s="4">
        <v>2019</v>
      </c>
      <c r="H690" s="4" t="s">
        <v>361</v>
      </c>
    </row>
    <row r="691" spans="1:8" ht="15.75" customHeight="1" x14ac:dyDescent="0.2">
      <c r="A691" s="4">
        <v>990</v>
      </c>
      <c r="B691" s="4" t="str">
        <f t="shared" si="2"/>
        <v>Institute for Justice_State Policy Network201830000</v>
      </c>
      <c r="C691" s="4" t="str">
        <f ca="1">IFERROR(__xludf.DUMMYFUNCTION("ARRAY_CONSTRAIN(ARRAYFORMULA(SINGLE(TEXTJOIN(""_"",TRUE,D691,G691))), 1, 1)"),"Institute for Justice_2018")</f>
        <v>Institute for Justice_2018</v>
      </c>
      <c r="D691" s="4" t="s">
        <v>47</v>
      </c>
      <c r="E691" s="8" t="s">
        <v>46</v>
      </c>
      <c r="F691" s="6">
        <v>30000</v>
      </c>
      <c r="G691" s="4">
        <v>2018</v>
      </c>
      <c r="H691" s="4" t="s">
        <v>361</v>
      </c>
    </row>
    <row r="692" spans="1:8" ht="15.75" customHeight="1" x14ac:dyDescent="0.2">
      <c r="A692" s="5" t="s">
        <v>548</v>
      </c>
      <c r="B692" s="4" t="str">
        <f t="shared" si="2"/>
        <v>Irving Rothlein Foundation_State Policy Network2020100</v>
      </c>
      <c r="C692" s="4" t="str">
        <f ca="1">IFERROR(__xludf.DUMMYFUNCTION("ARRAY_CONSTRAIN(ARRAYFORMULA(SINGLE(TEXTJOIN(""_"",TRUE,D692,G692))), 1, 1)"),"Irving Rothlein Foundation_2020")</f>
        <v>Irving Rothlein Foundation_2020</v>
      </c>
      <c r="D692" s="4" t="s">
        <v>226</v>
      </c>
      <c r="E692" s="8" t="s">
        <v>46</v>
      </c>
      <c r="F692" s="6">
        <v>100</v>
      </c>
      <c r="G692" s="4">
        <v>2020</v>
      </c>
      <c r="H692" s="4" t="s">
        <v>361</v>
      </c>
    </row>
    <row r="693" spans="1:8" ht="15.75" customHeight="1" x14ac:dyDescent="0.2">
      <c r="A693" s="4">
        <v>990</v>
      </c>
      <c r="B693" s="4" t="str">
        <f t="shared" si="2"/>
        <v>J P Humphreys Foundation_State Policy Network202150000</v>
      </c>
      <c r="C693" s="4" t="str">
        <f ca="1">IFERROR(__xludf.DUMMYFUNCTION("ARRAY_CONSTRAIN(ARRAYFORMULA(SINGLE(TEXTJOIN(""_"",TRUE,D693,G693))), 1, 1)"),"J P Humphreys Foundation_2021")</f>
        <v>J P Humphreys Foundation_2021</v>
      </c>
      <c r="D693" s="4" t="s">
        <v>25</v>
      </c>
      <c r="E693" s="8" t="s">
        <v>46</v>
      </c>
      <c r="F693" s="6">
        <v>50000</v>
      </c>
      <c r="G693" s="4">
        <v>2021</v>
      </c>
      <c r="H693" s="4" t="s">
        <v>361</v>
      </c>
    </row>
    <row r="694" spans="1:8" ht="15.75" customHeight="1" x14ac:dyDescent="0.2">
      <c r="A694" s="4">
        <v>990</v>
      </c>
      <c r="B694" s="4" t="str">
        <f t="shared" si="2"/>
        <v>J P Humphreys Foundation_State Policy Network202050000</v>
      </c>
      <c r="C694" s="4" t="str">
        <f ca="1">IFERROR(__xludf.DUMMYFUNCTION("ARRAY_CONSTRAIN(ARRAYFORMULA(SINGLE(TEXTJOIN(""_"",TRUE,D694,G694))), 1, 1)"),"J P Humphreys Foundation_2020")</f>
        <v>J P Humphreys Foundation_2020</v>
      </c>
      <c r="D694" s="4" t="s">
        <v>25</v>
      </c>
      <c r="E694" s="8" t="s">
        <v>46</v>
      </c>
      <c r="F694" s="6">
        <v>50000</v>
      </c>
      <c r="G694" s="4">
        <v>2020</v>
      </c>
      <c r="H694" s="4" t="s">
        <v>361</v>
      </c>
    </row>
    <row r="695" spans="1:8" ht="15.75" customHeight="1" x14ac:dyDescent="0.2">
      <c r="A695" s="4">
        <v>990</v>
      </c>
      <c r="B695" s="4" t="str">
        <f t="shared" si="2"/>
        <v>J P Humphreys Foundation_State Policy Network201950000</v>
      </c>
      <c r="C695" s="4" t="str">
        <f ca="1">IFERROR(__xludf.DUMMYFUNCTION("ARRAY_CONSTRAIN(ARRAYFORMULA(SINGLE(TEXTJOIN(""_"",TRUE,D695,G695))), 1, 1)"),"J P Humphreys Foundation_2019")</f>
        <v>J P Humphreys Foundation_2019</v>
      </c>
      <c r="D695" s="4" t="s">
        <v>25</v>
      </c>
      <c r="E695" s="8" t="s">
        <v>46</v>
      </c>
      <c r="F695" s="6">
        <v>50000</v>
      </c>
      <c r="G695" s="4">
        <v>2019</v>
      </c>
      <c r="H695" s="4" t="s">
        <v>361</v>
      </c>
    </row>
    <row r="696" spans="1:8" ht="15.75" customHeight="1" x14ac:dyDescent="0.2">
      <c r="A696" s="4">
        <v>990</v>
      </c>
      <c r="B696" s="4" t="str">
        <f t="shared" si="2"/>
        <v>J P Humphreys Foundation_State Policy Network201850000</v>
      </c>
      <c r="C696" s="4" t="str">
        <f ca="1">IFERROR(__xludf.DUMMYFUNCTION("ARRAY_CONSTRAIN(ARRAYFORMULA(SINGLE(TEXTJOIN(""_"",TRUE,D696,G696))), 1, 1)"),"J P Humphreys Foundation_2018")</f>
        <v>J P Humphreys Foundation_2018</v>
      </c>
      <c r="D696" s="4" t="s">
        <v>25</v>
      </c>
      <c r="E696" s="8" t="s">
        <v>46</v>
      </c>
      <c r="F696" s="6">
        <v>50000</v>
      </c>
      <c r="G696" s="4">
        <v>2018</v>
      </c>
      <c r="H696" s="4" t="s">
        <v>361</v>
      </c>
    </row>
    <row r="697" spans="1:8" ht="15.75" customHeight="1" x14ac:dyDescent="0.2">
      <c r="A697" s="4">
        <v>990</v>
      </c>
      <c r="B697" s="4" t="str">
        <f t="shared" si="2"/>
        <v>J P Humphreys Foundation_State Policy Network201750000</v>
      </c>
      <c r="C697" s="4" t="str">
        <f ca="1">IFERROR(__xludf.DUMMYFUNCTION("ARRAY_CONSTRAIN(ARRAYFORMULA(SINGLE(TEXTJOIN(""_"",TRUE,D697,G697))), 1, 1)"),"J P Humphreys Foundation_2017")</f>
        <v>J P Humphreys Foundation_2017</v>
      </c>
      <c r="D697" s="4" t="s">
        <v>25</v>
      </c>
      <c r="E697" s="8" t="s">
        <v>46</v>
      </c>
      <c r="F697" s="6">
        <v>50000</v>
      </c>
      <c r="G697" s="4">
        <v>2017</v>
      </c>
      <c r="H697" s="4" t="s">
        <v>361</v>
      </c>
    </row>
    <row r="698" spans="1:8" ht="15.75" customHeight="1" x14ac:dyDescent="0.2">
      <c r="A698" s="4">
        <v>990</v>
      </c>
      <c r="B698" s="4" t="str">
        <f t="shared" si="2"/>
        <v>J P Humphreys Foundation_State Policy Network201650000</v>
      </c>
      <c r="C698" s="4" t="str">
        <f ca="1">IFERROR(__xludf.DUMMYFUNCTION("ARRAY_CONSTRAIN(ARRAYFORMULA(SINGLE(TEXTJOIN(""_"",TRUE,D698,G698))), 1, 1)"),"J P Humphreys Foundation_2016")</f>
        <v>J P Humphreys Foundation_2016</v>
      </c>
      <c r="D698" s="4" t="s">
        <v>25</v>
      </c>
      <c r="E698" s="8" t="s">
        <v>46</v>
      </c>
      <c r="F698" s="6">
        <v>50000</v>
      </c>
      <c r="G698" s="4">
        <v>2016</v>
      </c>
      <c r="H698" s="4" t="s">
        <v>361</v>
      </c>
    </row>
    <row r="699" spans="1:8" ht="15.75" customHeight="1" x14ac:dyDescent="0.2">
      <c r="A699" s="4">
        <v>990</v>
      </c>
      <c r="B699" s="4" t="str">
        <f t="shared" si="2"/>
        <v>J P Humphreys Foundation_State Policy Network201550000</v>
      </c>
      <c r="C699" s="4" t="str">
        <f ca="1">IFERROR(__xludf.DUMMYFUNCTION("ARRAY_CONSTRAIN(ARRAYFORMULA(SINGLE(TEXTJOIN(""_"",TRUE,D699,G699))), 1, 1)"),"J P Humphreys Foundation_2015")</f>
        <v>J P Humphreys Foundation_2015</v>
      </c>
      <c r="D699" s="4" t="s">
        <v>25</v>
      </c>
      <c r="E699" s="8" t="s">
        <v>46</v>
      </c>
      <c r="F699" s="6">
        <v>50000</v>
      </c>
      <c r="G699" s="4">
        <v>2015</v>
      </c>
      <c r="H699" s="4" t="s">
        <v>361</v>
      </c>
    </row>
    <row r="700" spans="1:8" ht="15.75" customHeight="1" x14ac:dyDescent="0.2">
      <c r="A700" s="4">
        <v>990</v>
      </c>
      <c r="B700" s="4" t="str">
        <f t="shared" si="2"/>
        <v>J P Humphreys Foundation_State Policy Network201450000</v>
      </c>
      <c r="C700" s="4" t="str">
        <f ca="1">IFERROR(__xludf.DUMMYFUNCTION("ARRAY_CONSTRAIN(ARRAYFORMULA(SINGLE(TEXTJOIN(""_"",TRUE,D700,G700))), 1, 1)"),"J P Humphreys Foundation_2014")</f>
        <v>J P Humphreys Foundation_2014</v>
      </c>
      <c r="D700" s="4" t="s">
        <v>25</v>
      </c>
      <c r="E700" s="8" t="s">
        <v>46</v>
      </c>
      <c r="F700" s="6">
        <v>50000</v>
      </c>
      <c r="G700" s="4">
        <v>2014</v>
      </c>
      <c r="H700" s="4" t="s">
        <v>361</v>
      </c>
    </row>
    <row r="701" spans="1:8" ht="15.75" customHeight="1" x14ac:dyDescent="0.2">
      <c r="A701" s="4">
        <v>990</v>
      </c>
      <c r="B701" s="4" t="str">
        <f t="shared" si="2"/>
        <v>J P Humphreys Foundation_State Policy Network201350000</v>
      </c>
      <c r="C701" s="4" t="str">
        <f ca="1">IFERROR(__xludf.DUMMYFUNCTION("ARRAY_CONSTRAIN(ARRAYFORMULA(SINGLE(TEXTJOIN(""_"",TRUE,D701,G701))), 1, 1)"),"J P Humphreys Foundation_2013")</f>
        <v>J P Humphreys Foundation_2013</v>
      </c>
      <c r="D701" s="4" t="s">
        <v>25</v>
      </c>
      <c r="E701" s="8" t="s">
        <v>46</v>
      </c>
      <c r="F701" s="6">
        <v>50000</v>
      </c>
      <c r="G701" s="4">
        <v>2013</v>
      </c>
      <c r="H701" s="4" t="s">
        <v>361</v>
      </c>
    </row>
    <row r="702" spans="1:8" ht="15.75" customHeight="1" x14ac:dyDescent="0.2">
      <c r="A702" s="4">
        <v>990</v>
      </c>
      <c r="B702" s="4" t="str">
        <f t="shared" si="2"/>
        <v>J P Humphreys Foundation_State Policy Network201110000</v>
      </c>
      <c r="C702" s="4" t="str">
        <f ca="1">IFERROR(__xludf.DUMMYFUNCTION("ARRAY_CONSTRAIN(ARRAYFORMULA(SINGLE(TEXTJOIN(""_"",TRUE,D702,G702))), 1, 1)"),"J P Humphreys Foundation_2011")</f>
        <v>J P Humphreys Foundation_2011</v>
      </c>
      <c r="D702" s="4" t="s">
        <v>25</v>
      </c>
      <c r="E702" s="8" t="s">
        <v>46</v>
      </c>
      <c r="F702" s="6">
        <v>10000</v>
      </c>
      <c r="G702" s="4">
        <v>2011</v>
      </c>
      <c r="H702" s="4" t="s">
        <v>361</v>
      </c>
    </row>
    <row r="703" spans="1:8" ht="15.75" customHeight="1" x14ac:dyDescent="0.2">
      <c r="A703" s="4">
        <v>990</v>
      </c>
      <c r="B703" s="4" t="str">
        <f t="shared" si="2"/>
        <v>J P Humphreys Foundation_State Policy Network20105000</v>
      </c>
      <c r="C703" s="4" t="str">
        <f ca="1">IFERROR(__xludf.DUMMYFUNCTION("ARRAY_CONSTRAIN(ARRAYFORMULA(SINGLE(TEXTJOIN(""_"",TRUE,D703,G703))), 1, 1)"),"J P Humphreys Foundation_2010")</f>
        <v>J P Humphreys Foundation_2010</v>
      </c>
      <c r="D703" s="4" t="s">
        <v>25</v>
      </c>
      <c r="E703" s="8" t="s">
        <v>46</v>
      </c>
      <c r="F703" s="6">
        <v>5000</v>
      </c>
      <c r="G703" s="4">
        <v>2010</v>
      </c>
      <c r="H703" s="4" t="s">
        <v>361</v>
      </c>
    </row>
    <row r="704" spans="1:8" ht="15.75" customHeight="1" x14ac:dyDescent="0.2">
      <c r="A704" s="4">
        <v>990</v>
      </c>
      <c r="B704" s="4" t="str">
        <f t="shared" si="2"/>
        <v>J P Humphreys Foundation_State Policy Network20095000</v>
      </c>
      <c r="C704" s="4" t="str">
        <f ca="1">IFERROR(__xludf.DUMMYFUNCTION("ARRAY_CONSTRAIN(ARRAYFORMULA(SINGLE(TEXTJOIN(""_"",TRUE,D704,G704))), 1, 1)"),"J P Humphreys Foundation_2009")</f>
        <v>J P Humphreys Foundation_2009</v>
      </c>
      <c r="D704" s="4" t="s">
        <v>25</v>
      </c>
      <c r="E704" s="8" t="s">
        <v>46</v>
      </c>
      <c r="F704" s="6">
        <v>5000</v>
      </c>
      <c r="G704" s="4">
        <v>2009</v>
      </c>
      <c r="H704" s="4" t="s">
        <v>361</v>
      </c>
    </row>
    <row r="705" spans="1:8" ht="15.75" customHeight="1" x14ac:dyDescent="0.2">
      <c r="A705" s="4">
        <v>990</v>
      </c>
      <c r="B705" s="4" t="str">
        <f t="shared" si="2"/>
        <v>J P Humphreys Foundation_State Policy Network20075000</v>
      </c>
      <c r="C705" s="4" t="str">
        <f ca="1">IFERROR(__xludf.DUMMYFUNCTION("ARRAY_CONSTRAIN(ARRAYFORMULA(SINGLE(TEXTJOIN(""_"",TRUE,D705,G705))), 1, 1)"),"J P Humphreys Foundation_2007")</f>
        <v>J P Humphreys Foundation_2007</v>
      </c>
      <c r="D705" s="4" t="s">
        <v>25</v>
      </c>
      <c r="E705" s="8" t="s">
        <v>46</v>
      </c>
      <c r="F705" s="6">
        <v>5000</v>
      </c>
      <c r="G705" s="4">
        <v>2007</v>
      </c>
      <c r="H705" s="4" t="s">
        <v>361</v>
      </c>
    </row>
    <row r="706" spans="1:8" ht="15.75" customHeight="1" x14ac:dyDescent="0.2">
      <c r="A706" s="4">
        <v>990</v>
      </c>
      <c r="B706" s="4" t="str">
        <f t="shared" si="2"/>
        <v>J P Humphreys Foundation_State Policy Network20065000</v>
      </c>
      <c r="C706" s="4" t="str">
        <f ca="1">IFERROR(__xludf.DUMMYFUNCTION("ARRAY_CONSTRAIN(ARRAYFORMULA(SINGLE(TEXTJOIN(""_"",TRUE,D706,G706))), 1, 1)"),"J P Humphreys Foundation_2006")</f>
        <v>J P Humphreys Foundation_2006</v>
      </c>
      <c r="D706" s="4" t="s">
        <v>25</v>
      </c>
      <c r="E706" s="8" t="s">
        <v>46</v>
      </c>
      <c r="F706" s="6">
        <v>5000</v>
      </c>
      <c r="G706" s="4">
        <v>2006</v>
      </c>
      <c r="H706" s="4" t="s">
        <v>361</v>
      </c>
    </row>
    <row r="707" spans="1:8" ht="15.75" customHeight="1" x14ac:dyDescent="0.2">
      <c r="A707" s="4">
        <v>990</v>
      </c>
      <c r="B707" s="4" t="str">
        <f t="shared" si="2"/>
        <v>J P Humphreys Foundation_State Policy Network20045000</v>
      </c>
      <c r="C707" s="4" t="str">
        <f ca="1">IFERROR(__xludf.DUMMYFUNCTION("ARRAY_CONSTRAIN(ARRAYFORMULA(SINGLE(TEXTJOIN(""_"",TRUE,D707,G707))), 1, 1)"),"J P Humphreys Foundation_2004")</f>
        <v>J P Humphreys Foundation_2004</v>
      </c>
      <c r="D707" s="4" t="s">
        <v>25</v>
      </c>
      <c r="E707" s="8" t="s">
        <v>46</v>
      </c>
      <c r="F707" s="6">
        <v>5000</v>
      </c>
      <c r="G707" s="4">
        <v>2004</v>
      </c>
      <c r="H707" s="4" t="s">
        <v>361</v>
      </c>
    </row>
    <row r="708" spans="1:8" ht="15.75" customHeight="1" x14ac:dyDescent="0.2">
      <c r="A708" s="4">
        <v>990</v>
      </c>
      <c r="B708" s="4" t="str">
        <f t="shared" si="2"/>
        <v>J P Humphreys Foundation_State Policy Network20025000</v>
      </c>
      <c r="C708" s="4" t="str">
        <f ca="1">IFERROR(__xludf.DUMMYFUNCTION("ARRAY_CONSTRAIN(ARRAYFORMULA(SINGLE(TEXTJOIN(""_"",TRUE,D708,G708))), 1, 1)"),"J P Humphreys Foundation_2002")</f>
        <v>J P Humphreys Foundation_2002</v>
      </c>
      <c r="D708" s="4" t="s">
        <v>25</v>
      </c>
      <c r="E708" s="8" t="s">
        <v>46</v>
      </c>
      <c r="F708" s="6">
        <v>5000</v>
      </c>
      <c r="G708" s="4">
        <v>2002</v>
      </c>
      <c r="H708" s="4" t="s">
        <v>361</v>
      </c>
    </row>
    <row r="709" spans="1:8" ht="15.75" customHeight="1" x14ac:dyDescent="0.2">
      <c r="A709" s="4">
        <v>990</v>
      </c>
      <c r="B709" s="4" t="str">
        <f t="shared" si="2"/>
        <v>J P Humphreys Foundation_State Policy Network20015000</v>
      </c>
      <c r="C709" s="4" t="str">
        <f ca="1">IFERROR(__xludf.DUMMYFUNCTION("ARRAY_CONSTRAIN(ARRAYFORMULA(SINGLE(TEXTJOIN(""_"",TRUE,D709,G709))), 1, 1)"),"J P Humphreys Foundation_2001")</f>
        <v>J P Humphreys Foundation_2001</v>
      </c>
      <c r="D709" s="4" t="s">
        <v>25</v>
      </c>
      <c r="E709" s="8" t="s">
        <v>46</v>
      </c>
      <c r="F709" s="6">
        <v>5000</v>
      </c>
      <c r="G709" s="4">
        <v>2001</v>
      </c>
      <c r="H709" s="4" t="s">
        <v>361</v>
      </c>
    </row>
    <row r="710" spans="1:8" ht="15.75" customHeight="1" x14ac:dyDescent="0.2">
      <c r="A710" s="4" t="s">
        <v>549</v>
      </c>
      <c r="B710" s="4" t="str">
        <f t="shared" si="2"/>
        <v>J W Schippmann Foundation_State Policy Network2015500</v>
      </c>
      <c r="C710" s="4" t="str">
        <f ca="1">IFERROR(__xludf.DUMMYFUNCTION("ARRAY_CONSTRAIN(ARRAYFORMULA(SINGLE(TEXTJOIN(""_"",TRUE,D710,G710))), 1, 1)"),"J W Schippmann Foundation_2015")</f>
        <v>J W Schippmann Foundation_2015</v>
      </c>
      <c r="D710" s="4" t="s">
        <v>200</v>
      </c>
      <c r="E710" s="8" t="s">
        <v>46</v>
      </c>
      <c r="F710" s="6">
        <v>500</v>
      </c>
      <c r="G710" s="4">
        <v>2015</v>
      </c>
      <c r="H710" s="4" t="s">
        <v>361</v>
      </c>
    </row>
    <row r="711" spans="1:8" ht="15.75" customHeight="1" x14ac:dyDescent="0.2">
      <c r="A711" s="5" t="s">
        <v>550</v>
      </c>
      <c r="B711" s="4" t="str">
        <f t="shared" si="2"/>
        <v>James E and Edith Margaret Brandon Foundation_State Policy Network20201000</v>
      </c>
      <c r="C711" s="4" t="str">
        <f ca="1">IFERROR(__xludf.DUMMYFUNCTION("ARRAY_CONSTRAIN(ARRAYFORMULA(SINGLE(TEXTJOIN(""_"",TRUE,D711,G711))), 1, 1)"),"James E and Edith Margaret Brandon Foundation_2020")</f>
        <v>James E and Edith Margaret Brandon Foundation_2020</v>
      </c>
      <c r="D711" s="4" t="s">
        <v>163</v>
      </c>
      <c r="E711" s="8" t="s">
        <v>46</v>
      </c>
      <c r="F711" s="6">
        <v>1000</v>
      </c>
      <c r="G711" s="4">
        <v>2020</v>
      </c>
      <c r="H711" s="4" t="s">
        <v>361</v>
      </c>
    </row>
    <row r="712" spans="1:8" ht="15.75" customHeight="1" x14ac:dyDescent="0.2">
      <c r="A712" s="5" t="s">
        <v>551</v>
      </c>
      <c r="B712" s="4" t="str">
        <f t="shared" si="2"/>
        <v>James E and Edith Margaret Brandon Foundation_State Policy Network2017250</v>
      </c>
      <c r="C712" s="4" t="str">
        <f ca="1">IFERROR(__xludf.DUMMYFUNCTION("ARRAY_CONSTRAIN(ARRAYFORMULA(SINGLE(TEXTJOIN(""_"",TRUE,D712,G712))), 1, 1)"),"James E and Edith Margaret Brandon Foundation_2017")</f>
        <v>James E and Edith Margaret Brandon Foundation_2017</v>
      </c>
      <c r="D712" s="4" t="s">
        <v>163</v>
      </c>
      <c r="E712" s="8" t="s">
        <v>46</v>
      </c>
      <c r="F712" s="6">
        <v>250</v>
      </c>
      <c r="G712" s="4">
        <v>2017</v>
      </c>
      <c r="H712" s="4" t="s">
        <v>361</v>
      </c>
    </row>
    <row r="713" spans="1:8" ht="15.75" customHeight="1" x14ac:dyDescent="0.2">
      <c r="A713" s="5" t="s">
        <v>552</v>
      </c>
      <c r="B713" s="4" t="str">
        <f t="shared" si="2"/>
        <v>James E and Edith Margaret Brandon Foundation_State Policy Network20161000</v>
      </c>
      <c r="C713" s="4" t="str">
        <f ca="1">IFERROR(__xludf.DUMMYFUNCTION("ARRAY_CONSTRAIN(ARRAYFORMULA(SINGLE(TEXTJOIN(""_"",TRUE,D713,G713))), 1, 1)"),"James E and Edith Margaret Brandon Foundation_2016")</f>
        <v>James E and Edith Margaret Brandon Foundation_2016</v>
      </c>
      <c r="D713" s="4" t="s">
        <v>163</v>
      </c>
      <c r="E713" s="8" t="s">
        <v>46</v>
      </c>
      <c r="F713" s="6">
        <v>1000</v>
      </c>
      <c r="G713" s="4">
        <v>2016</v>
      </c>
      <c r="H713" s="4" t="s">
        <v>361</v>
      </c>
    </row>
    <row r="714" spans="1:8" ht="15.75" customHeight="1" x14ac:dyDescent="0.2">
      <c r="A714" s="5" t="s">
        <v>553</v>
      </c>
      <c r="B714" s="4" t="str">
        <f t="shared" si="2"/>
        <v>James E and Edith Margaret Brandon Foundation_State Policy Network2015100</v>
      </c>
      <c r="C714" s="4" t="str">
        <f ca="1">IFERROR(__xludf.DUMMYFUNCTION("ARRAY_CONSTRAIN(ARRAYFORMULA(SINGLE(TEXTJOIN(""_"",TRUE,D714,G714))), 1, 1)"),"James E and Edith Margaret Brandon Foundation_2015")</f>
        <v>James E and Edith Margaret Brandon Foundation_2015</v>
      </c>
      <c r="D714" s="4" t="s">
        <v>163</v>
      </c>
      <c r="E714" s="8" t="s">
        <v>46</v>
      </c>
      <c r="F714" s="6">
        <v>100</v>
      </c>
      <c r="G714" s="4">
        <v>2015</v>
      </c>
      <c r="H714" s="4" t="s">
        <v>361</v>
      </c>
    </row>
    <row r="715" spans="1:8" ht="15.75" customHeight="1" x14ac:dyDescent="0.2">
      <c r="A715" s="4">
        <v>990</v>
      </c>
      <c r="B715" s="4" t="str">
        <f t="shared" si="2"/>
        <v>James F Causley Jr Family Foundation_State Policy Network201512000</v>
      </c>
      <c r="C715" s="4" t="str">
        <f ca="1">IFERROR(__xludf.DUMMYFUNCTION("ARRAY_CONSTRAIN(ARRAYFORMULA(SINGLE(TEXTJOIN(""_"",TRUE,D715,G715))), 1, 1)"),"James F Causley Jr Family Foundation_2015")</f>
        <v>James F Causley Jr Family Foundation_2015</v>
      </c>
      <c r="D715" s="4" t="s">
        <v>102</v>
      </c>
      <c r="E715" s="8" t="s">
        <v>46</v>
      </c>
      <c r="F715" s="6">
        <v>12000</v>
      </c>
      <c r="G715" s="4">
        <v>2015</v>
      </c>
      <c r="H715" s="4" t="s">
        <v>361</v>
      </c>
    </row>
    <row r="716" spans="1:8" ht="15.75" customHeight="1" x14ac:dyDescent="0.2">
      <c r="A716" s="4">
        <v>990</v>
      </c>
      <c r="B716" s="4" t="str">
        <f t="shared" si="2"/>
        <v>James F Causley Jr Family Foundation_State Policy Network20145000</v>
      </c>
      <c r="C716" s="4" t="str">
        <f ca="1">IFERROR(__xludf.DUMMYFUNCTION("ARRAY_CONSTRAIN(ARRAYFORMULA(SINGLE(TEXTJOIN(""_"",TRUE,D716,G716))), 1, 1)"),"James F Causley Jr Family Foundation_2014")</f>
        <v>James F Causley Jr Family Foundation_2014</v>
      </c>
      <c r="D716" s="4" t="s">
        <v>102</v>
      </c>
      <c r="E716" s="8" t="s">
        <v>46</v>
      </c>
      <c r="F716" s="6">
        <v>5000</v>
      </c>
      <c r="G716" s="4">
        <v>2014</v>
      </c>
      <c r="H716" s="4" t="s">
        <v>361</v>
      </c>
    </row>
    <row r="717" spans="1:8" ht="15.75" customHeight="1" x14ac:dyDescent="0.2">
      <c r="A717" s="4">
        <v>990</v>
      </c>
      <c r="B717" s="4" t="str">
        <f t="shared" si="2"/>
        <v>James F Causley Jr Family Foundation_State Policy Network20132000</v>
      </c>
      <c r="C717" s="4" t="str">
        <f ca="1">IFERROR(__xludf.DUMMYFUNCTION("ARRAY_CONSTRAIN(ARRAYFORMULA(SINGLE(TEXTJOIN(""_"",TRUE,D717,G717))), 1, 1)"),"James F Causley Jr Family Foundation_2013")</f>
        <v>James F Causley Jr Family Foundation_2013</v>
      </c>
      <c r="D717" s="4" t="s">
        <v>102</v>
      </c>
      <c r="E717" s="8" t="s">
        <v>46</v>
      </c>
      <c r="F717" s="6">
        <v>2000</v>
      </c>
      <c r="G717" s="4">
        <v>2013</v>
      </c>
      <c r="H717" s="4" t="s">
        <v>361</v>
      </c>
    </row>
    <row r="718" spans="1:8" ht="15.75" customHeight="1" x14ac:dyDescent="0.2">
      <c r="A718" s="4">
        <v>990</v>
      </c>
      <c r="B718" s="4" t="str">
        <f t="shared" si="2"/>
        <v>Jaquelin Hume Foundation_State Policy Network201350000</v>
      </c>
      <c r="C718" s="4" t="str">
        <f ca="1">IFERROR(__xludf.DUMMYFUNCTION("ARRAY_CONSTRAIN(ARRAYFORMULA(SINGLE(TEXTJOIN(""_"",TRUE,D718,G718))), 1, 1)"),"Jaquelin Hume Foundation_2013")</f>
        <v>Jaquelin Hume Foundation_2013</v>
      </c>
      <c r="D718" s="4" t="s">
        <v>20</v>
      </c>
      <c r="E718" s="8" t="s">
        <v>46</v>
      </c>
      <c r="F718" s="6">
        <v>50000</v>
      </c>
      <c r="G718" s="4">
        <v>2013</v>
      </c>
      <c r="H718" s="4" t="s">
        <v>359</v>
      </c>
    </row>
    <row r="719" spans="1:8" ht="15.75" customHeight="1" x14ac:dyDescent="0.2">
      <c r="A719" s="4" t="s">
        <v>368</v>
      </c>
      <c r="B719" s="4" t="str">
        <f t="shared" si="2"/>
        <v>Jaquelin Hume Foundation_State Policy Network201275000</v>
      </c>
      <c r="C719" s="4" t="str">
        <f ca="1">IFERROR(__xludf.DUMMYFUNCTION("ARRAY_CONSTRAIN(ARRAYFORMULA(SINGLE(TEXTJOIN(""_"",TRUE,D719,G719))), 1, 1)"),"Jaquelin Hume Foundation_2012")</f>
        <v>Jaquelin Hume Foundation_2012</v>
      </c>
      <c r="D719" s="4" t="s">
        <v>20</v>
      </c>
      <c r="E719" s="8" t="s">
        <v>46</v>
      </c>
      <c r="F719" s="6">
        <v>75000</v>
      </c>
      <c r="G719" s="4">
        <v>2012</v>
      </c>
    </row>
    <row r="720" spans="1:8" ht="15.75" customHeight="1" x14ac:dyDescent="0.2">
      <c r="A720" s="4" t="s">
        <v>369</v>
      </c>
      <c r="B720" s="4" t="str">
        <f t="shared" si="2"/>
        <v>Jaquelin Hume Foundation_State Policy Network2011100000</v>
      </c>
      <c r="C720" s="4" t="str">
        <f ca="1">IFERROR(__xludf.DUMMYFUNCTION("ARRAY_CONSTRAIN(ARRAYFORMULA(SINGLE(TEXTJOIN(""_"",TRUE,D720,G720))), 1, 1)"),"Jaquelin Hume Foundation_2011")</f>
        <v>Jaquelin Hume Foundation_2011</v>
      </c>
      <c r="D720" s="4" t="s">
        <v>20</v>
      </c>
      <c r="E720" s="8" t="s">
        <v>46</v>
      </c>
      <c r="F720" s="6">
        <v>100000</v>
      </c>
      <c r="G720" s="4">
        <v>2011</v>
      </c>
    </row>
    <row r="721" spans="1:8" ht="15.75" customHeight="1" x14ac:dyDescent="0.2">
      <c r="A721" s="4" t="s">
        <v>369</v>
      </c>
      <c r="B721" s="4" t="str">
        <f t="shared" si="2"/>
        <v>Jaquelin Hume Foundation_State Policy Network2010100000</v>
      </c>
      <c r="C721" s="4" t="str">
        <f ca="1">IFERROR(__xludf.DUMMYFUNCTION("ARRAY_CONSTRAIN(ARRAYFORMULA(SINGLE(TEXTJOIN(""_"",TRUE,D721,G721))), 1, 1)"),"Jaquelin Hume Foundation_2010")</f>
        <v>Jaquelin Hume Foundation_2010</v>
      </c>
      <c r="D721" s="4" t="s">
        <v>20</v>
      </c>
      <c r="E721" s="8" t="s">
        <v>46</v>
      </c>
      <c r="F721" s="6">
        <v>100000</v>
      </c>
      <c r="G721" s="4">
        <v>2010</v>
      </c>
    </row>
    <row r="722" spans="1:8" ht="15.75" customHeight="1" x14ac:dyDescent="0.2">
      <c r="A722" s="4" t="s">
        <v>369</v>
      </c>
      <c r="B722" s="4" t="str">
        <f t="shared" si="2"/>
        <v>Jaquelin Hume Foundation_State Policy Network200975000</v>
      </c>
      <c r="C722" s="4" t="str">
        <f ca="1">IFERROR(__xludf.DUMMYFUNCTION("ARRAY_CONSTRAIN(ARRAYFORMULA(SINGLE(TEXTJOIN(""_"",TRUE,D722,G722))), 1, 1)"),"Jaquelin Hume Foundation_2009")</f>
        <v>Jaquelin Hume Foundation_2009</v>
      </c>
      <c r="D722" s="4" t="s">
        <v>20</v>
      </c>
      <c r="E722" s="8" t="s">
        <v>46</v>
      </c>
      <c r="F722" s="6">
        <v>75000</v>
      </c>
      <c r="G722" s="4">
        <v>2009</v>
      </c>
    </row>
    <row r="723" spans="1:8" ht="15.75" customHeight="1" x14ac:dyDescent="0.2">
      <c r="A723" s="4" t="s">
        <v>369</v>
      </c>
      <c r="B723" s="4" t="str">
        <f t="shared" si="2"/>
        <v>Jaquelin Hume Foundation_State Policy Network200875000</v>
      </c>
      <c r="C723" s="4" t="str">
        <f ca="1">IFERROR(__xludf.DUMMYFUNCTION("ARRAY_CONSTRAIN(ARRAYFORMULA(SINGLE(TEXTJOIN(""_"",TRUE,D723,G723))), 1, 1)"),"Jaquelin Hume Foundation_2008")</f>
        <v>Jaquelin Hume Foundation_2008</v>
      </c>
      <c r="D723" s="4" t="s">
        <v>20</v>
      </c>
      <c r="E723" s="8" t="s">
        <v>46</v>
      </c>
      <c r="F723" s="6">
        <v>75000</v>
      </c>
      <c r="G723" s="4">
        <v>2008</v>
      </c>
    </row>
    <row r="724" spans="1:8" ht="15.75" customHeight="1" x14ac:dyDescent="0.2">
      <c r="A724" s="4" t="s">
        <v>369</v>
      </c>
      <c r="B724" s="4" t="str">
        <f t="shared" si="2"/>
        <v>Jaquelin Hume Foundation_State Policy Network200775000</v>
      </c>
      <c r="C724" s="4" t="str">
        <f ca="1">IFERROR(__xludf.DUMMYFUNCTION("ARRAY_CONSTRAIN(ARRAYFORMULA(SINGLE(TEXTJOIN(""_"",TRUE,D724,G724))), 1, 1)"),"Jaquelin Hume Foundation_2007")</f>
        <v>Jaquelin Hume Foundation_2007</v>
      </c>
      <c r="D724" s="4" t="s">
        <v>20</v>
      </c>
      <c r="E724" s="8" t="s">
        <v>46</v>
      </c>
      <c r="F724" s="6">
        <v>75000</v>
      </c>
      <c r="G724" s="4">
        <v>2007</v>
      </c>
    </row>
    <row r="725" spans="1:8" ht="15.75" customHeight="1" x14ac:dyDescent="0.2">
      <c r="A725" s="4" t="s">
        <v>369</v>
      </c>
      <c r="B725" s="4" t="str">
        <f t="shared" si="2"/>
        <v>Jaquelin Hume Foundation_State Policy Network200675000</v>
      </c>
      <c r="C725" s="4" t="str">
        <f ca="1">IFERROR(__xludf.DUMMYFUNCTION("ARRAY_CONSTRAIN(ARRAYFORMULA(SINGLE(TEXTJOIN(""_"",TRUE,D725,G725))), 1, 1)"),"Jaquelin Hume Foundation_2006")</f>
        <v>Jaquelin Hume Foundation_2006</v>
      </c>
      <c r="D725" s="4" t="s">
        <v>20</v>
      </c>
      <c r="E725" s="8" t="s">
        <v>46</v>
      </c>
      <c r="F725" s="6">
        <v>75000</v>
      </c>
      <c r="G725" s="4">
        <v>2006</v>
      </c>
    </row>
    <row r="726" spans="1:8" ht="15.75" customHeight="1" x14ac:dyDescent="0.2">
      <c r="A726" s="4" t="s">
        <v>369</v>
      </c>
      <c r="B726" s="4" t="str">
        <f t="shared" si="2"/>
        <v>Jaquelin Hume Foundation_State Policy Network200550000</v>
      </c>
      <c r="C726" s="4" t="str">
        <f ca="1">IFERROR(__xludf.DUMMYFUNCTION("ARRAY_CONSTRAIN(ARRAYFORMULA(SINGLE(TEXTJOIN(""_"",TRUE,D726,G726))), 1, 1)"),"Jaquelin Hume Foundation_2005")</f>
        <v>Jaquelin Hume Foundation_2005</v>
      </c>
      <c r="D726" s="4" t="s">
        <v>20</v>
      </c>
      <c r="E726" s="8" t="s">
        <v>46</v>
      </c>
      <c r="F726" s="6">
        <v>50000</v>
      </c>
      <c r="G726" s="4">
        <v>2005</v>
      </c>
    </row>
    <row r="727" spans="1:8" ht="15.75" customHeight="1" x14ac:dyDescent="0.2">
      <c r="A727" s="4" t="s">
        <v>369</v>
      </c>
      <c r="B727" s="4" t="str">
        <f t="shared" si="2"/>
        <v>Jaquelin Hume Foundation_State Policy Network200450000</v>
      </c>
      <c r="C727" s="4" t="str">
        <f ca="1">IFERROR(__xludf.DUMMYFUNCTION("ARRAY_CONSTRAIN(ARRAYFORMULA(SINGLE(TEXTJOIN(""_"",TRUE,D727,G727))), 1, 1)"),"Jaquelin Hume Foundation_2004")</f>
        <v>Jaquelin Hume Foundation_2004</v>
      </c>
      <c r="D727" s="4" t="s">
        <v>20</v>
      </c>
      <c r="E727" s="8" t="s">
        <v>46</v>
      </c>
      <c r="F727" s="6">
        <v>50000</v>
      </c>
      <c r="G727" s="4">
        <v>2004</v>
      </c>
    </row>
    <row r="728" spans="1:8" ht="15.75" customHeight="1" x14ac:dyDescent="0.2">
      <c r="A728" s="4" t="s">
        <v>369</v>
      </c>
      <c r="B728" s="4" t="str">
        <f t="shared" si="2"/>
        <v>Jaquelin Hume Foundation_State Policy Network200350000</v>
      </c>
      <c r="C728" s="4" t="str">
        <f ca="1">IFERROR(__xludf.DUMMYFUNCTION("ARRAY_CONSTRAIN(ARRAYFORMULA(SINGLE(TEXTJOIN(""_"",TRUE,D728,G728))), 1, 1)"),"Jaquelin Hume Foundation_2003")</f>
        <v>Jaquelin Hume Foundation_2003</v>
      </c>
      <c r="D728" s="4" t="s">
        <v>20</v>
      </c>
      <c r="E728" s="8" t="s">
        <v>46</v>
      </c>
      <c r="F728" s="6">
        <v>50000</v>
      </c>
      <c r="G728" s="4">
        <v>2003</v>
      </c>
    </row>
    <row r="729" spans="1:8" ht="15.75" customHeight="1" x14ac:dyDescent="0.2">
      <c r="A729" s="4" t="s">
        <v>369</v>
      </c>
      <c r="B729" s="4" t="str">
        <f t="shared" si="2"/>
        <v>Jaquelin Hume Foundation_State Policy Network200250000</v>
      </c>
      <c r="C729" s="4" t="str">
        <f ca="1">IFERROR(__xludf.DUMMYFUNCTION("ARRAY_CONSTRAIN(ARRAYFORMULA(SINGLE(TEXTJOIN(""_"",TRUE,D729,G729))), 1, 1)"),"Jaquelin Hume Foundation_2002")</f>
        <v>Jaquelin Hume Foundation_2002</v>
      </c>
      <c r="D729" s="4" t="s">
        <v>20</v>
      </c>
      <c r="E729" s="8" t="s">
        <v>46</v>
      </c>
      <c r="F729" s="6">
        <v>50000</v>
      </c>
      <c r="G729" s="4">
        <v>2002</v>
      </c>
    </row>
    <row r="730" spans="1:8" ht="15.75" customHeight="1" x14ac:dyDescent="0.2">
      <c r="A730" s="4" t="s">
        <v>369</v>
      </c>
      <c r="B730" s="4" t="str">
        <f t="shared" si="2"/>
        <v>Jaquelin Hume Foundation_State Policy Network200130000</v>
      </c>
      <c r="C730" s="4" t="str">
        <f ca="1">IFERROR(__xludf.DUMMYFUNCTION("ARRAY_CONSTRAIN(ARRAYFORMULA(SINGLE(TEXTJOIN(""_"",TRUE,D730,G730))), 1, 1)"),"Jaquelin Hume Foundation_2001")</f>
        <v>Jaquelin Hume Foundation_2001</v>
      </c>
      <c r="D730" s="4" t="s">
        <v>20</v>
      </c>
      <c r="E730" s="8" t="s">
        <v>46</v>
      </c>
      <c r="F730" s="6">
        <v>30000</v>
      </c>
      <c r="G730" s="4">
        <v>2001</v>
      </c>
    </row>
    <row r="731" spans="1:8" ht="15.75" customHeight="1" x14ac:dyDescent="0.2">
      <c r="A731" s="5" t="s">
        <v>554</v>
      </c>
      <c r="B731" s="4" t="str">
        <f t="shared" si="2"/>
        <v>Jewish Communal Fund_State Policy Network20175200</v>
      </c>
      <c r="C731" s="4" t="str">
        <f ca="1">IFERROR(__xludf.DUMMYFUNCTION("ARRAY_CONSTRAIN(ARRAYFORMULA(SINGLE(TEXTJOIN(""_"",TRUE,D731,G731))), 1, 1)"),"Jewish Communal Fund_2017")</f>
        <v>Jewish Communal Fund_2017</v>
      </c>
      <c r="D731" s="4" t="s">
        <v>70</v>
      </c>
      <c r="E731" s="8" t="s">
        <v>46</v>
      </c>
      <c r="F731" s="6">
        <v>5200</v>
      </c>
      <c r="G731" s="4">
        <v>2017</v>
      </c>
      <c r="H731" s="4" t="s">
        <v>361</v>
      </c>
    </row>
    <row r="732" spans="1:8" ht="15.75" customHeight="1" x14ac:dyDescent="0.2">
      <c r="A732" s="5" t="s">
        <v>555</v>
      </c>
      <c r="B732" s="4" t="str">
        <f t="shared" si="2"/>
        <v>Jewish Communal Fund_State Policy Network20165050</v>
      </c>
      <c r="C732" s="4" t="str">
        <f ca="1">IFERROR(__xludf.DUMMYFUNCTION("ARRAY_CONSTRAIN(ARRAYFORMULA(SINGLE(TEXTJOIN(""_"",TRUE,D732,G732))), 1, 1)"),"Jewish Communal Fund_2016")</f>
        <v>Jewish Communal Fund_2016</v>
      </c>
      <c r="D732" s="4" t="s">
        <v>70</v>
      </c>
      <c r="E732" s="8" t="s">
        <v>46</v>
      </c>
      <c r="F732" s="6">
        <v>5050</v>
      </c>
      <c r="G732" s="4">
        <v>2016</v>
      </c>
      <c r="H732" s="4" t="s">
        <v>361</v>
      </c>
    </row>
    <row r="733" spans="1:8" ht="15.75" customHeight="1" x14ac:dyDescent="0.2">
      <c r="A733" s="5" t="s">
        <v>556</v>
      </c>
      <c r="B733" s="4" t="str">
        <f t="shared" si="2"/>
        <v>Jewish Communal Fund_State Policy Network201420050</v>
      </c>
      <c r="C733" s="4" t="str">
        <f ca="1">IFERROR(__xludf.DUMMYFUNCTION("ARRAY_CONSTRAIN(ARRAYFORMULA(SINGLE(TEXTJOIN(""_"",TRUE,D733,G733))), 1, 1)"),"Jewish Communal Fund_2014")</f>
        <v>Jewish Communal Fund_2014</v>
      </c>
      <c r="D733" s="4" t="s">
        <v>70</v>
      </c>
      <c r="E733" s="8" t="s">
        <v>46</v>
      </c>
      <c r="F733" s="6">
        <v>20050</v>
      </c>
      <c r="G733" s="4">
        <v>2014</v>
      </c>
      <c r="H733" s="4" t="s">
        <v>361</v>
      </c>
    </row>
    <row r="734" spans="1:8" ht="15.75" customHeight="1" x14ac:dyDescent="0.2">
      <c r="A734" s="5" t="s">
        <v>557</v>
      </c>
      <c r="B734" s="4" t="str">
        <f t="shared" si="2"/>
        <v>Jewish Communal Fund_State Policy Network201210100</v>
      </c>
      <c r="C734" s="4" t="str">
        <f ca="1">IFERROR(__xludf.DUMMYFUNCTION("ARRAY_CONSTRAIN(ARRAYFORMULA(SINGLE(TEXTJOIN(""_"",TRUE,D734,G734))), 1, 1)"),"Jewish Communal Fund_2012")</f>
        <v>Jewish Communal Fund_2012</v>
      </c>
      <c r="D734" s="4" t="s">
        <v>70</v>
      </c>
      <c r="E734" s="8" t="s">
        <v>46</v>
      </c>
      <c r="F734" s="6">
        <v>10100</v>
      </c>
      <c r="G734" s="4">
        <v>2012</v>
      </c>
      <c r="H734" s="4" t="s">
        <v>361</v>
      </c>
    </row>
    <row r="735" spans="1:8" ht="15.75" customHeight="1" x14ac:dyDescent="0.2">
      <c r="A735" s="5" t="s">
        <v>558</v>
      </c>
      <c r="B735" s="4" t="str">
        <f t="shared" si="2"/>
        <v>Jewish Communal Fund_State Policy Network201110136</v>
      </c>
      <c r="C735" s="4" t="str">
        <f ca="1">IFERROR(__xludf.DUMMYFUNCTION("ARRAY_CONSTRAIN(ARRAYFORMULA(SINGLE(TEXTJOIN(""_"",TRUE,D735,G735))), 1, 1)"),"Jewish Communal Fund_2011")</f>
        <v>Jewish Communal Fund_2011</v>
      </c>
      <c r="D735" s="4" t="s">
        <v>70</v>
      </c>
      <c r="E735" s="8" t="s">
        <v>46</v>
      </c>
      <c r="F735" s="6">
        <v>10136</v>
      </c>
      <c r="G735" s="4">
        <v>2011</v>
      </c>
      <c r="H735" s="4" t="s">
        <v>361</v>
      </c>
    </row>
    <row r="736" spans="1:8" ht="15.75" customHeight="1" x14ac:dyDescent="0.2">
      <c r="A736" s="5" t="s">
        <v>558</v>
      </c>
      <c r="B736" s="4" t="str">
        <f t="shared" si="2"/>
        <v>Jewish Communal Fund_State Policy Network20105100</v>
      </c>
      <c r="C736" s="4" t="str">
        <f ca="1">IFERROR(__xludf.DUMMYFUNCTION("ARRAY_CONSTRAIN(ARRAYFORMULA(SINGLE(TEXTJOIN(""_"",TRUE,D736,G736))), 1, 1)"),"Jewish Communal Fund_2010")</f>
        <v>Jewish Communal Fund_2010</v>
      </c>
      <c r="D736" s="4" t="s">
        <v>70</v>
      </c>
      <c r="E736" s="8" t="s">
        <v>46</v>
      </c>
      <c r="F736" s="6">
        <v>5100</v>
      </c>
      <c r="G736" s="4">
        <v>2010</v>
      </c>
      <c r="H736" s="4" t="s">
        <v>361</v>
      </c>
    </row>
    <row r="737" spans="1:8" ht="15.75" customHeight="1" x14ac:dyDescent="0.2">
      <c r="A737" s="4">
        <v>990</v>
      </c>
      <c r="B737" s="4" t="str">
        <f t="shared" si="2"/>
        <v>Jim Hicks Family Foundation_State Policy Network20183000</v>
      </c>
      <c r="C737" s="4" t="str">
        <f ca="1">IFERROR(__xludf.DUMMYFUNCTION("ARRAY_CONSTRAIN(ARRAYFORMULA(SINGLE(TEXTJOIN(""_"",TRUE,D737,G737))), 1, 1)"),"Jim Hicks Family Foundation_2018")</f>
        <v>Jim Hicks Family Foundation_2018</v>
      </c>
      <c r="D737" s="4" t="s">
        <v>147</v>
      </c>
      <c r="E737" s="8" t="s">
        <v>46</v>
      </c>
      <c r="F737" s="6">
        <v>3000</v>
      </c>
      <c r="G737" s="4">
        <v>2018</v>
      </c>
      <c r="H737" s="4" t="s">
        <v>361</v>
      </c>
    </row>
    <row r="738" spans="1:8" ht="15.75" customHeight="1" x14ac:dyDescent="0.2">
      <c r="A738" s="4">
        <v>990</v>
      </c>
      <c r="B738" s="4" t="str">
        <f t="shared" si="2"/>
        <v>Jim Hicks Family Foundation_State Policy Network20172500</v>
      </c>
      <c r="C738" s="4" t="str">
        <f ca="1">IFERROR(__xludf.DUMMYFUNCTION("ARRAY_CONSTRAIN(ARRAYFORMULA(SINGLE(TEXTJOIN(""_"",TRUE,D738,G738))), 1, 1)"),"Jim Hicks Family Foundation_2017")</f>
        <v>Jim Hicks Family Foundation_2017</v>
      </c>
      <c r="D738" s="4" t="s">
        <v>147</v>
      </c>
      <c r="E738" s="8" t="s">
        <v>46</v>
      </c>
      <c r="F738" s="6">
        <v>2500</v>
      </c>
      <c r="G738" s="4">
        <v>2017</v>
      </c>
      <c r="H738" s="4" t="s">
        <v>361</v>
      </c>
    </row>
    <row r="739" spans="1:8" ht="15.75" customHeight="1" x14ac:dyDescent="0.2">
      <c r="A739" s="4">
        <v>990</v>
      </c>
      <c r="B739" s="4" t="str">
        <f t="shared" si="2"/>
        <v>JM Foundation_State Policy Network2013100000</v>
      </c>
      <c r="C739" s="4" t="str">
        <f ca="1">IFERROR(__xludf.DUMMYFUNCTION("ARRAY_CONSTRAIN(ARRAYFORMULA(SINGLE(TEXTJOIN(""_"",TRUE,D739,G739))), 1, 1)"),"JM Foundation_2013")</f>
        <v>JM Foundation_2013</v>
      </c>
      <c r="D739" s="4" t="s">
        <v>19</v>
      </c>
      <c r="E739" s="8" t="s">
        <v>46</v>
      </c>
      <c r="F739" s="6">
        <v>100000</v>
      </c>
      <c r="G739" s="4">
        <v>2013</v>
      </c>
      <c r="H739" s="4" t="s">
        <v>361</v>
      </c>
    </row>
    <row r="740" spans="1:8" ht="15.75" customHeight="1" x14ac:dyDescent="0.2">
      <c r="A740" s="4" t="s">
        <v>368</v>
      </c>
      <c r="B740" s="4" t="str">
        <f t="shared" si="2"/>
        <v>JM Foundation_State Policy Network2012100000</v>
      </c>
      <c r="C740" s="4" t="str">
        <f ca="1">IFERROR(__xludf.DUMMYFUNCTION("ARRAY_CONSTRAIN(ARRAYFORMULA(SINGLE(TEXTJOIN(""_"",TRUE,D740,G740))), 1, 1)"),"JM Foundation_2012")</f>
        <v>JM Foundation_2012</v>
      </c>
      <c r="D740" s="4" t="s">
        <v>19</v>
      </c>
      <c r="E740" s="8" t="s">
        <v>46</v>
      </c>
      <c r="F740" s="6">
        <v>100000</v>
      </c>
      <c r="G740" s="4">
        <v>2012</v>
      </c>
      <c r="H740" s="4" t="s">
        <v>359</v>
      </c>
    </row>
    <row r="741" spans="1:8" ht="15.75" customHeight="1" x14ac:dyDescent="0.2">
      <c r="A741" s="4" t="s">
        <v>368</v>
      </c>
      <c r="B741" s="4" t="str">
        <f t="shared" si="2"/>
        <v>JM Foundation_State Policy Network201175000</v>
      </c>
      <c r="C741" s="4" t="str">
        <f ca="1">IFERROR(__xludf.DUMMYFUNCTION("ARRAY_CONSTRAIN(ARRAYFORMULA(SINGLE(TEXTJOIN(""_"",TRUE,D741,G741))), 1, 1)"),"JM Foundation_2011")</f>
        <v>JM Foundation_2011</v>
      </c>
      <c r="D741" s="4" t="s">
        <v>19</v>
      </c>
      <c r="E741" s="8" t="s">
        <v>46</v>
      </c>
      <c r="F741" s="6">
        <v>75000</v>
      </c>
      <c r="G741" s="4">
        <v>2011</v>
      </c>
      <c r="H741" s="4" t="s">
        <v>359</v>
      </c>
    </row>
    <row r="742" spans="1:8" ht="15.75" customHeight="1" x14ac:dyDescent="0.2">
      <c r="A742" s="4" t="s">
        <v>368</v>
      </c>
      <c r="B742" s="4" t="str">
        <f t="shared" si="2"/>
        <v>JM Foundation_State Policy Network201075000</v>
      </c>
      <c r="C742" s="4" t="str">
        <f ca="1">IFERROR(__xludf.DUMMYFUNCTION("ARRAY_CONSTRAIN(ARRAYFORMULA(SINGLE(TEXTJOIN(""_"",TRUE,D742,G742))), 1, 1)"),"JM Foundation_2010")</f>
        <v>JM Foundation_2010</v>
      </c>
      <c r="D742" s="4" t="s">
        <v>19</v>
      </c>
      <c r="E742" s="8" t="s">
        <v>46</v>
      </c>
      <c r="F742" s="6">
        <v>75000</v>
      </c>
      <c r="G742" s="4">
        <v>2010</v>
      </c>
      <c r="H742" s="4" t="s">
        <v>359</v>
      </c>
    </row>
    <row r="743" spans="1:8" ht="15.75" customHeight="1" x14ac:dyDescent="0.2">
      <c r="A743" s="4" t="s">
        <v>368</v>
      </c>
      <c r="B743" s="4" t="str">
        <f t="shared" si="2"/>
        <v>JM Foundation_State Policy Network200975000</v>
      </c>
      <c r="C743" s="4" t="str">
        <f ca="1">IFERROR(__xludf.DUMMYFUNCTION("ARRAY_CONSTRAIN(ARRAYFORMULA(SINGLE(TEXTJOIN(""_"",TRUE,D743,G743))), 1, 1)"),"JM Foundation_2009")</f>
        <v>JM Foundation_2009</v>
      </c>
      <c r="D743" s="4" t="s">
        <v>19</v>
      </c>
      <c r="E743" s="8" t="s">
        <v>46</v>
      </c>
      <c r="F743" s="6">
        <v>75000</v>
      </c>
      <c r="G743" s="4">
        <v>2009</v>
      </c>
      <c r="H743" s="4" t="s">
        <v>359</v>
      </c>
    </row>
    <row r="744" spans="1:8" ht="15.75" customHeight="1" x14ac:dyDescent="0.2">
      <c r="A744" s="4" t="s">
        <v>369</v>
      </c>
      <c r="B744" s="4" t="str">
        <f t="shared" si="2"/>
        <v>JM Foundation_State Policy Network200875000</v>
      </c>
      <c r="C744" s="4" t="str">
        <f ca="1">IFERROR(__xludf.DUMMYFUNCTION("ARRAY_CONSTRAIN(ARRAYFORMULA(SINGLE(TEXTJOIN(""_"",TRUE,D744,G744))), 1, 1)"),"JM Foundation_2008")</f>
        <v>JM Foundation_2008</v>
      </c>
      <c r="D744" s="4" t="s">
        <v>19</v>
      </c>
      <c r="E744" s="8" t="s">
        <v>46</v>
      </c>
      <c r="F744" s="6">
        <v>75000</v>
      </c>
      <c r="G744" s="4">
        <v>2008</v>
      </c>
      <c r="H744" s="4" t="s">
        <v>359</v>
      </c>
    </row>
    <row r="745" spans="1:8" ht="15.75" customHeight="1" x14ac:dyDescent="0.2">
      <c r="A745" s="4" t="s">
        <v>369</v>
      </c>
      <c r="B745" s="4" t="str">
        <f t="shared" si="2"/>
        <v>JM Foundation_State Policy Network200775000</v>
      </c>
      <c r="C745" s="4" t="str">
        <f ca="1">IFERROR(__xludf.DUMMYFUNCTION("ARRAY_CONSTRAIN(ARRAYFORMULA(SINGLE(TEXTJOIN(""_"",TRUE,D745,G745))), 1, 1)"),"JM Foundation_2007")</f>
        <v>JM Foundation_2007</v>
      </c>
      <c r="D745" s="4" t="s">
        <v>19</v>
      </c>
      <c r="E745" s="8" t="s">
        <v>46</v>
      </c>
      <c r="F745" s="6">
        <v>75000</v>
      </c>
      <c r="G745" s="4">
        <v>2007</v>
      </c>
      <c r="H745" s="4" t="s">
        <v>359</v>
      </c>
    </row>
    <row r="746" spans="1:8" ht="15.75" customHeight="1" x14ac:dyDescent="0.2">
      <c r="A746" s="4" t="s">
        <v>369</v>
      </c>
      <c r="B746" s="4" t="str">
        <f t="shared" si="2"/>
        <v>JM Foundation_State Policy Network200675000</v>
      </c>
      <c r="C746" s="4" t="str">
        <f ca="1">IFERROR(__xludf.DUMMYFUNCTION("ARRAY_CONSTRAIN(ARRAYFORMULA(SINGLE(TEXTJOIN(""_"",TRUE,D746,G746))), 1, 1)"),"JM Foundation_2006")</f>
        <v>JM Foundation_2006</v>
      </c>
      <c r="D746" s="4" t="s">
        <v>19</v>
      </c>
      <c r="E746" s="8" t="s">
        <v>46</v>
      </c>
      <c r="F746" s="6">
        <v>75000</v>
      </c>
      <c r="G746" s="4">
        <v>2006</v>
      </c>
      <c r="H746" s="4" t="s">
        <v>359</v>
      </c>
    </row>
    <row r="747" spans="1:8" ht="15.75" customHeight="1" x14ac:dyDescent="0.2">
      <c r="A747" s="4" t="s">
        <v>369</v>
      </c>
      <c r="B747" s="4" t="str">
        <f t="shared" si="2"/>
        <v>JM Foundation_State Policy Network200475000</v>
      </c>
      <c r="C747" s="4" t="str">
        <f ca="1">IFERROR(__xludf.DUMMYFUNCTION("ARRAY_CONSTRAIN(ARRAYFORMULA(SINGLE(TEXTJOIN(""_"",TRUE,D747,G747))), 1, 1)"),"JM Foundation_2004")</f>
        <v>JM Foundation_2004</v>
      </c>
      <c r="D747" s="4" t="s">
        <v>19</v>
      </c>
      <c r="E747" s="8" t="s">
        <v>46</v>
      </c>
      <c r="F747" s="6">
        <v>75000</v>
      </c>
      <c r="G747" s="4">
        <v>2004</v>
      </c>
      <c r="H747" s="4" t="s">
        <v>359</v>
      </c>
    </row>
    <row r="748" spans="1:8" ht="15.75" customHeight="1" x14ac:dyDescent="0.2">
      <c r="A748" s="4" t="s">
        <v>369</v>
      </c>
      <c r="B748" s="4" t="str">
        <f t="shared" si="2"/>
        <v>JM Foundation_State Policy Network200350000</v>
      </c>
      <c r="C748" s="4" t="str">
        <f ca="1">IFERROR(__xludf.DUMMYFUNCTION("ARRAY_CONSTRAIN(ARRAYFORMULA(SINGLE(TEXTJOIN(""_"",TRUE,D748,G748))), 1, 1)"),"JM Foundation_2003")</f>
        <v>JM Foundation_2003</v>
      </c>
      <c r="D748" s="4" t="s">
        <v>19</v>
      </c>
      <c r="E748" s="8" t="s">
        <v>46</v>
      </c>
      <c r="F748" s="6">
        <v>50000</v>
      </c>
      <c r="G748" s="4">
        <v>2003</v>
      </c>
      <c r="H748" s="4" t="s">
        <v>359</v>
      </c>
    </row>
    <row r="749" spans="1:8" ht="15.75" customHeight="1" x14ac:dyDescent="0.2">
      <c r="A749" s="4" t="s">
        <v>369</v>
      </c>
      <c r="B749" s="4" t="str">
        <f t="shared" si="2"/>
        <v>JM Foundation_State Policy Network199975000</v>
      </c>
      <c r="C749" s="4" t="str">
        <f ca="1">IFERROR(__xludf.DUMMYFUNCTION("ARRAY_CONSTRAIN(ARRAYFORMULA(SINGLE(TEXTJOIN(""_"",TRUE,D749,G749))), 1, 1)"),"JM Foundation_1999")</f>
        <v>JM Foundation_1999</v>
      </c>
      <c r="D749" s="4" t="s">
        <v>19</v>
      </c>
      <c r="E749" s="8" t="s">
        <v>46</v>
      </c>
      <c r="F749" s="6">
        <v>75000</v>
      </c>
      <c r="G749" s="4">
        <v>1999</v>
      </c>
      <c r="H749" s="4" t="s">
        <v>559</v>
      </c>
    </row>
    <row r="750" spans="1:8" ht="15.75" customHeight="1" x14ac:dyDescent="0.2">
      <c r="A750" s="4" t="s">
        <v>368</v>
      </c>
      <c r="B750" s="4" t="str">
        <f t="shared" si="2"/>
        <v>JM Foundation_State Policy Network199525000</v>
      </c>
      <c r="C750" s="4" t="str">
        <f ca="1">IFERROR(__xludf.DUMMYFUNCTION("ARRAY_CONSTRAIN(ARRAYFORMULA(SINGLE(TEXTJOIN(""_"",TRUE,D750,G750))), 1, 1)"),"JM Foundation_1995")</f>
        <v>JM Foundation_1995</v>
      </c>
      <c r="D750" s="4" t="s">
        <v>19</v>
      </c>
      <c r="E750" s="8" t="s">
        <v>46</v>
      </c>
      <c r="F750" s="6">
        <v>25000</v>
      </c>
      <c r="G750" s="4">
        <v>1995</v>
      </c>
      <c r="H750" s="4" t="s">
        <v>559</v>
      </c>
    </row>
    <row r="751" spans="1:8" ht="15.75" customHeight="1" x14ac:dyDescent="0.2">
      <c r="A751" s="4" t="s">
        <v>368</v>
      </c>
      <c r="B751" s="4" t="str">
        <f t="shared" si="2"/>
        <v>John Dawson Foundation_State Policy Network201025000</v>
      </c>
      <c r="C751" s="4" t="str">
        <f ca="1">IFERROR(__xludf.DUMMYFUNCTION("ARRAY_CONSTRAIN(ARRAYFORMULA(SINGLE(TEXTJOIN(""_"",TRUE,D751,G751))), 1, 1)"),"John Dawson Foundation_2010")</f>
        <v>John Dawson Foundation_2010</v>
      </c>
      <c r="D751" s="4" t="s">
        <v>91</v>
      </c>
      <c r="E751" s="8" t="s">
        <v>46</v>
      </c>
      <c r="F751" s="6">
        <v>25000</v>
      </c>
      <c r="G751" s="4">
        <v>2010</v>
      </c>
      <c r="H751" s="4" t="s">
        <v>359</v>
      </c>
    </row>
    <row r="752" spans="1:8" ht="15.75" customHeight="1" x14ac:dyDescent="0.2">
      <c r="A752" s="5" t="s">
        <v>560</v>
      </c>
      <c r="B752" s="4" t="str">
        <f t="shared" si="2"/>
        <v>John E &amp; Sue M Jackson Charitable Trust_State Policy Network202210000</v>
      </c>
      <c r="C752" s="4" t="str">
        <f ca="1">IFERROR(__xludf.DUMMYFUNCTION("ARRAY_CONSTRAIN(ARRAYFORMULA(SINGLE(TEXTJOIN(""_"",TRUE,D752,G752))), 1, 1)"),"John E &amp; Sue M Jackson Charitable Trust_2022")</f>
        <v>John E &amp; Sue M Jackson Charitable Trust_2022</v>
      </c>
      <c r="D752" s="4" t="s">
        <v>55</v>
      </c>
      <c r="E752" s="8" t="s">
        <v>46</v>
      </c>
      <c r="F752" s="6">
        <v>10000</v>
      </c>
      <c r="G752" s="4">
        <v>2022</v>
      </c>
      <c r="H752" s="4" t="s">
        <v>361</v>
      </c>
    </row>
    <row r="753" spans="1:8" ht="15.75" customHeight="1" x14ac:dyDescent="0.2">
      <c r="A753" s="5" t="s">
        <v>561</v>
      </c>
      <c r="B753" s="4" t="str">
        <f t="shared" si="2"/>
        <v>John E &amp; Sue M Jackson Charitable Trust_State Policy Network202125000</v>
      </c>
      <c r="C753" s="4" t="str">
        <f ca="1">IFERROR(__xludf.DUMMYFUNCTION("ARRAY_CONSTRAIN(ARRAYFORMULA(SINGLE(TEXTJOIN(""_"",TRUE,D753,G753))), 1, 1)"),"John E &amp; Sue M Jackson Charitable Trust_2021")</f>
        <v>John E &amp; Sue M Jackson Charitable Trust_2021</v>
      </c>
      <c r="D753" s="4" t="s">
        <v>55</v>
      </c>
      <c r="E753" s="8" t="s">
        <v>46</v>
      </c>
      <c r="F753" s="6">
        <v>25000</v>
      </c>
      <c r="G753" s="4">
        <v>2021</v>
      </c>
      <c r="H753" s="4" t="s">
        <v>361</v>
      </c>
    </row>
    <row r="754" spans="1:8" ht="15.75" customHeight="1" x14ac:dyDescent="0.2">
      <c r="A754" s="5" t="s">
        <v>562</v>
      </c>
      <c r="B754" s="4" t="str">
        <f t="shared" si="2"/>
        <v>John E &amp; Sue M Jackson Charitable Trust_State Policy Network202015000</v>
      </c>
      <c r="C754" s="4" t="str">
        <f ca="1">IFERROR(__xludf.DUMMYFUNCTION("ARRAY_CONSTRAIN(ARRAYFORMULA(SINGLE(TEXTJOIN(""_"",TRUE,D754,G754))), 1, 1)"),"John E &amp; Sue M Jackson Charitable Trust_2020")</f>
        <v>John E &amp; Sue M Jackson Charitable Trust_2020</v>
      </c>
      <c r="D754" s="4" t="s">
        <v>55</v>
      </c>
      <c r="E754" s="8" t="s">
        <v>46</v>
      </c>
      <c r="F754" s="6">
        <v>15000</v>
      </c>
      <c r="G754" s="4">
        <v>2020</v>
      </c>
      <c r="H754" s="4" t="s">
        <v>361</v>
      </c>
    </row>
    <row r="755" spans="1:8" ht="15.75" customHeight="1" x14ac:dyDescent="0.2">
      <c r="A755" s="5" t="s">
        <v>563</v>
      </c>
      <c r="B755" s="4" t="str">
        <f t="shared" si="2"/>
        <v>John E &amp; Sue M Jackson Charitable Trust_State Policy Network201915000</v>
      </c>
      <c r="C755" s="4" t="str">
        <f ca="1">IFERROR(__xludf.DUMMYFUNCTION("ARRAY_CONSTRAIN(ARRAYFORMULA(SINGLE(TEXTJOIN(""_"",TRUE,D755,G755))), 1, 1)"),"John E &amp; Sue M Jackson Charitable Trust_2019")</f>
        <v>John E &amp; Sue M Jackson Charitable Trust_2019</v>
      </c>
      <c r="D755" s="4" t="s">
        <v>55</v>
      </c>
      <c r="E755" s="8" t="s">
        <v>46</v>
      </c>
      <c r="F755" s="6">
        <v>15000</v>
      </c>
      <c r="G755" s="4">
        <v>2019</v>
      </c>
      <c r="H755" s="4" t="s">
        <v>361</v>
      </c>
    </row>
    <row r="756" spans="1:8" ht="15.75" customHeight="1" x14ac:dyDescent="0.2">
      <c r="A756" s="5" t="s">
        <v>564</v>
      </c>
      <c r="B756" s="4" t="str">
        <f t="shared" si="2"/>
        <v>John E &amp; Sue M Jackson Charitable Trust_State Policy Network201810000</v>
      </c>
      <c r="C756" s="4" t="str">
        <f ca="1">IFERROR(__xludf.DUMMYFUNCTION("ARRAY_CONSTRAIN(ARRAYFORMULA(SINGLE(TEXTJOIN(""_"",TRUE,D756,G756))), 1, 1)"),"John E &amp; Sue M Jackson Charitable Trust_2018")</f>
        <v>John E &amp; Sue M Jackson Charitable Trust_2018</v>
      </c>
      <c r="D756" s="4" t="s">
        <v>55</v>
      </c>
      <c r="E756" s="8" t="s">
        <v>46</v>
      </c>
      <c r="F756" s="6">
        <v>10000</v>
      </c>
      <c r="G756" s="4">
        <v>2018</v>
      </c>
      <c r="H756" s="4" t="s">
        <v>361</v>
      </c>
    </row>
    <row r="757" spans="1:8" ht="15.75" customHeight="1" x14ac:dyDescent="0.2">
      <c r="A757" s="5" t="s">
        <v>565</v>
      </c>
      <c r="B757" s="4" t="str">
        <f t="shared" si="2"/>
        <v>John E &amp; Sue M Jackson Charitable Trust_State Policy Network20174246</v>
      </c>
      <c r="C757" s="4" t="str">
        <f ca="1">IFERROR(__xludf.DUMMYFUNCTION("ARRAY_CONSTRAIN(ARRAYFORMULA(SINGLE(TEXTJOIN(""_"",TRUE,D757,G757))), 1, 1)"),"John E &amp; Sue M Jackson Charitable Trust_2017")</f>
        <v>John E &amp; Sue M Jackson Charitable Trust_2017</v>
      </c>
      <c r="D757" s="4" t="s">
        <v>55</v>
      </c>
      <c r="E757" s="8" t="s">
        <v>46</v>
      </c>
      <c r="F757" s="6">
        <v>4246</v>
      </c>
      <c r="G757" s="4">
        <v>2017</v>
      </c>
      <c r="H757" s="4" t="s">
        <v>361</v>
      </c>
    </row>
    <row r="758" spans="1:8" ht="15.75" customHeight="1" x14ac:dyDescent="0.2">
      <c r="A758" s="5" t="s">
        <v>566</v>
      </c>
      <c r="B758" s="4" t="str">
        <f t="shared" si="2"/>
        <v>John E &amp; Sue M Jackson Charitable Trust_State Policy Network20154000</v>
      </c>
      <c r="C758" s="4" t="str">
        <f ca="1">IFERROR(__xludf.DUMMYFUNCTION("ARRAY_CONSTRAIN(ARRAYFORMULA(SINGLE(TEXTJOIN(""_"",TRUE,D758,G758))), 1, 1)"),"John E &amp; Sue M Jackson Charitable Trust_2015")</f>
        <v>John E &amp; Sue M Jackson Charitable Trust_2015</v>
      </c>
      <c r="D758" s="4" t="s">
        <v>55</v>
      </c>
      <c r="E758" s="8" t="s">
        <v>46</v>
      </c>
      <c r="F758" s="6">
        <v>4000</v>
      </c>
      <c r="G758" s="4">
        <v>2015</v>
      </c>
      <c r="H758" s="4" t="s">
        <v>361</v>
      </c>
    </row>
    <row r="759" spans="1:8" ht="15.75" customHeight="1" x14ac:dyDescent="0.2">
      <c r="A759" s="5" t="s">
        <v>567</v>
      </c>
      <c r="B759" s="4" t="str">
        <f t="shared" si="2"/>
        <v>John J Creedon Foundation_State Policy Network2017200</v>
      </c>
      <c r="C759" s="4" t="str">
        <f ca="1">IFERROR(__xludf.DUMMYFUNCTION("ARRAY_CONSTRAIN(ARRAYFORMULA(SINGLE(TEXTJOIN(""_"",TRUE,D759,G759))), 1, 1)"),"John J Creedon Foundation_2017")</f>
        <v>John J Creedon Foundation_2017</v>
      </c>
      <c r="D759" s="4" t="s">
        <v>160</v>
      </c>
      <c r="E759" s="8" t="s">
        <v>46</v>
      </c>
      <c r="F759" s="6">
        <v>200</v>
      </c>
      <c r="G759" s="4">
        <v>2017</v>
      </c>
      <c r="H759" s="4" t="s">
        <v>361</v>
      </c>
    </row>
    <row r="760" spans="1:8" ht="15.75" customHeight="1" x14ac:dyDescent="0.2">
      <c r="A760" s="5" t="s">
        <v>568</v>
      </c>
      <c r="B760" s="4" t="str">
        <f t="shared" si="2"/>
        <v>John J Creedon Foundation_State Policy Network20161500</v>
      </c>
      <c r="C760" s="4" t="str">
        <f ca="1">IFERROR(__xludf.DUMMYFUNCTION("ARRAY_CONSTRAIN(ARRAYFORMULA(SINGLE(TEXTJOIN(""_"",TRUE,D760,G760))), 1, 1)"),"John J Creedon Foundation_2016")</f>
        <v>John J Creedon Foundation_2016</v>
      </c>
      <c r="D760" s="4" t="s">
        <v>160</v>
      </c>
      <c r="E760" s="8" t="s">
        <v>46</v>
      </c>
      <c r="F760" s="6">
        <v>1500</v>
      </c>
      <c r="G760" s="4">
        <v>2016</v>
      </c>
      <c r="H760" s="4" t="s">
        <v>361</v>
      </c>
    </row>
    <row r="761" spans="1:8" ht="15.75" customHeight="1" x14ac:dyDescent="0.2">
      <c r="A761" s="5" t="s">
        <v>569</v>
      </c>
      <c r="B761" s="4" t="str">
        <f t="shared" si="2"/>
        <v>John J Creedon Foundation_State Policy Network2015300</v>
      </c>
      <c r="C761" s="4" t="str">
        <f ca="1">IFERROR(__xludf.DUMMYFUNCTION("ARRAY_CONSTRAIN(ARRAYFORMULA(SINGLE(TEXTJOIN(""_"",TRUE,D761,G761))), 1, 1)"),"John J Creedon Foundation_2015")</f>
        <v>John J Creedon Foundation_2015</v>
      </c>
      <c r="D761" s="4" t="s">
        <v>160</v>
      </c>
      <c r="E761" s="8" t="s">
        <v>46</v>
      </c>
      <c r="F761" s="6">
        <v>300</v>
      </c>
      <c r="G761" s="4">
        <v>2015</v>
      </c>
      <c r="H761" s="4" t="s">
        <v>361</v>
      </c>
    </row>
    <row r="762" spans="1:8" ht="15.75" customHeight="1" x14ac:dyDescent="0.2">
      <c r="A762" s="5" t="s">
        <v>570</v>
      </c>
      <c r="B762" s="4" t="str">
        <f t="shared" si="2"/>
        <v>John J Creedon Foundation_State Policy Network2013500</v>
      </c>
      <c r="C762" s="4" t="str">
        <f ca="1">IFERROR(__xludf.DUMMYFUNCTION("ARRAY_CONSTRAIN(ARRAYFORMULA(SINGLE(TEXTJOIN(""_"",TRUE,D762,G762))), 1, 1)"),"John J Creedon Foundation_2013")</f>
        <v>John J Creedon Foundation_2013</v>
      </c>
      <c r="D762" s="4" t="s">
        <v>160</v>
      </c>
      <c r="E762" s="8" t="s">
        <v>46</v>
      </c>
      <c r="F762" s="6">
        <v>500</v>
      </c>
      <c r="G762" s="4">
        <v>2013</v>
      </c>
      <c r="H762" s="4" t="s">
        <v>361</v>
      </c>
    </row>
    <row r="763" spans="1:8" ht="15.75" customHeight="1" x14ac:dyDescent="0.2">
      <c r="A763" s="5" t="s">
        <v>571</v>
      </c>
      <c r="B763" s="4" t="str">
        <f t="shared" si="2"/>
        <v>John J Creedon Foundation_State Policy Network2011100</v>
      </c>
      <c r="C763" s="4" t="str">
        <f ca="1">IFERROR(__xludf.DUMMYFUNCTION("ARRAY_CONSTRAIN(ARRAYFORMULA(SINGLE(TEXTJOIN(""_"",TRUE,D763,G763))), 1, 1)"),"John J Creedon Foundation_2011")</f>
        <v>John J Creedon Foundation_2011</v>
      </c>
      <c r="D763" s="4" t="s">
        <v>160</v>
      </c>
      <c r="E763" s="8" t="s">
        <v>46</v>
      </c>
      <c r="F763" s="6">
        <v>100</v>
      </c>
      <c r="G763" s="4">
        <v>2011</v>
      </c>
      <c r="H763" s="4" t="s">
        <v>361</v>
      </c>
    </row>
    <row r="764" spans="1:8" ht="15.75" customHeight="1" x14ac:dyDescent="0.2">
      <c r="A764" s="4" t="s">
        <v>369</v>
      </c>
      <c r="B764" s="4" t="str">
        <f t="shared" si="2"/>
        <v>John M Olin Foundation_State Policy Network200125000</v>
      </c>
      <c r="C764" s="4" t="str">
        <f ca="1">IFERROR(__xludf.DUMMYFUNCTION("ARRAY_CONSTRAIN(ARRAYFORMULA(SINGLE(TEXTJOIN(""_"",TRUE,D764,G764))), 1, 1)"),"John M Olin Foundation_2001")</f>
        <v>John M Olin Foundation_2001</v>
      </c>
      <c r="D764" s="4" t="s">
        <v>43</v>
      </c>
      <c r="E764" s="8" t="s">
        <v>46</v>
      </c>
      <c r="F764" s="6">
        <v>25000</v>
      </c>
      <c r="G764" s="4">
        <v>2001</v>
      </c>
      <c r="H764" s="4" t="s">
        <v>359</v>
      </c>
    </row>
    <row r="765" spans="1:8" ht="15.75" customHeight="1" x14ac:dyDescent="0.2">
      <c r="A765" s="4" t="s">
        <v>369</v>
      </c>
      <c r="B765" s="4" t="str">
        <f t="shared" si="2"/>
        <v>John M Olin Foundation_State Policy Network200040000</v>
      </c>
      <c r="C765" s="4" t="str">
        <f ca="1">IFERROR(__xludf.DUMMYFUNCTION("ARRAY_CONSTRAIN(ARRAYFORMULA(SINGLE(TEXTJOIN(""_"",TRUE,D765,G765))), 1, 1)"),"John M Olin Foundation_2000")</f>
        <v>John M Olin Foundation_2000</v>
      </c>
      <c r="D765" s="4" t="s">
        <v>43</v>
      </c>
      <c r="E765" s="8" t="s">
        <v>46</v>
      </c>
      <c r="F765" s="6">
        <v>40000</v>
      </c>
      <c r="G765" s="4">
        <v>2000</v>
      </c>
      <c r="H765" s="4" t="s">
        <v>559</v>
      </c>
    </row>
    <row r="766" spans="1:8" ht="15.75" customHeight="1" x14ac:dyDescent="0.2">
      <c r="A766" s="4" t="s">
        <v>369</v>
      </c>
      <c r="B766" s="4" t="str">
        <f t="shared" si="2"/>
        <v>John M Olin Foundation_State Policy Network199640000</v>
      </c>
      <c r="C766" s="4" t="str">
        <f ca="1">IFERROR(__xludf.DUMMYFUNCTION("ARRAY_CONSTRAIN(ARRAYFORMULA(SINGLE(TEXTJOIN(""_"",TRUE,D766,G766))), 1, 1)"),"John M Olin Foundation_1996")</f>
        <v>John M Olin Foundation_1996</v>
      </c>
      <c r="D766" s="4" t="s">
        <v>43</v>
      </c>
      <c r="E766" s="8" t="s">
        <v>46</v>
      </c>
      <c r="F766" s="6">
        <v>40000</v>
      </c>
      <c r="G766" s="4">
        <v>1996</v>
      </c>
      <c r="H766" s="4" t="s">
        <v>559</v>
      </c>
    </row>
    <row r="767" spans="1:8" ht="15.75" customHeight="1" x14ac:dyDescent="0.2">
      <c r="A767" s="4" t="s">
        <v>369</v>
      </c>
      <c r="B767" s="4" t="str">
        <f t="shared" ref="B767:B1021" si="3">D767&amp;"_"&amp;E767&amp;G767&amp;F767</f>
        <v>John M Olin Foundation_State Policy Network199425000</v>
      </c>
      <c r="C767" s="4" t="str">
        <f ca="1">IFERROR(__xludf.DUMMYFUNCTION("ARRAY_CONSTRAIN(ARRAYFORMULA(SINGLE(TEXTJOIN(""_"",TRUE,D767,G767))), 1, 1)"),"John M Olin Foundation_1994")</f>
        <v>John M Olin Foundation_1994</v>
      </c>
      <c r="D767" s="4" t="s">
        <v>43</v>
      </c>
      <c r="E767" s="8" t="s">
        <v>46</v>
      </c>
      <c r="F767" s="6">
        <v>25000</v>
      </c>
      <c r="G767" s="4">
        <v>1994</v>
      </c>
      <c r="H767" s="4" t="s">
        <v>559</v>
      </c>
    </row>
    <row r="768" spans="1:8" ht="15.75" customHeight="1" x14ac:dyDescent="0.2">
      <c r="A768" s="4" t="s">
        <v>369</v>
      </c>
      <c r="B768" s="4" t="str">
        <f t="shared" si="3"/>
        <v>John M Olin Foundation_State Policy Network199325000</v>
      </c>
      <c r="C768" s="4" t="str">
        <f ca="1">IFERROR(__xludf.DUMMYFUNCTION("ARRAY_CONSTRAIN(ARRAYFORMULA(SINGLE(TEXTJOIN(""_"",TRUE,D768,G768))), 1, 1)"),"John M Olin Foundation_1993")</f>
        <v>John M Olin Foundation_1993</v>
      </c>
      <c r="D768" s="4" t="s">
        <v>43</v>
      </c>
      <c r="E768" s="8" t="s">
        <v>46</v>
      </c>
      <c r="F768" s="6">
        <v>25000</v>
      </c>
      <c r="G768" s="4">
        <v>1993</v>
      </c>
      <c r="H768" s="4" t="s">
        <v>559</v>
      </c>
    </row>
    <row r="769" spans="1:8" ht="15.75" customHeight="1" x14ac:dyDescent="0.2">
      <c r="A769" s="4">
        <v>990</v>
      </c>
      <c r="B769" s="4" t="str">
        <f t="shared" si="3"/>
        <v>John P and Kathryn G Evans Foundation_State Policy Network20221200</v>
      </c>
      <c r="C769" s="4" t="str">
        <f ca="1">IFERROR(__xludf.DUMMYFUNCTION("ARRAY_CONSTRAIN(ARRAYFORMULA(SINGLE(TEXTJOIN(""_"",TRUE,D769,G769))), 1, 1)"),"John P and Kathryn G Evans Foundation_2022")</f>
        <v>John P and Kathryn G Evans Foundation_2022</v>
      </c>
      <c r="D769" s="4" t="s">
        <v>132</v>
      </c>
      <c r="E769" s="8" t="s">
        <v>46</v>
      </c>
      <c r="F769" s="6">
        <v>1200</v>
      </c>
      <c r="G769" s="4">
        <v>2022</v>
      </c>
      <c r="H769" s="4" t="s">
        <v>361</v>
      </c>
    </row>
    <row r="770" spans="1:8" ht="15.75" customHeight="1" x14ac:dyDescent="0.2">
      <c r="A770" s="4">
        <v>990</v>
      </c>
      <c r="B770" s="4" t="str">
        <f t="shared" si="3"/>
        <v>John P and Kathryn G Evans Foundation_State Policy Network20211200</v>
      </c>
      <c r="C770" s="4" t="str">
        <f ca="1">IFERROR(__xludf.DUMMYFUNCTION("ARRAY_CONSTRAIN(ARRAYFORMULA(SINGLE(TEXTJOIN(""_"",TRUE,D770,G770))), 1, 1)"),"John P and Kathryn G Evans Foundation_2021")</f>
        <v>John P and Kathryn G Evans Foundation_2021</v>
      </c>
      <c r="D770" s="4" t="s">
        <v>132</v>
      </c>
      <c r="E770" s="8" t="s">
        <v>46</v>
      </c>
      <c r="F770" s="6">
        <v>1200</v>
      </c>
      <c r="G770" s="4">
        <v>2021</v>
      </c>
      <c r="H770" s="4" t="s">
        <v>361</v>
      </c>
    </row>
    <row r="771" spans="1:8" ht="15.75" customHeight="1" x14ac:dyDescent="0.2">
      <c r="A771" s="4">
        <v>990</v>
      </c>
      <c r="B771" s="4" t="str">
        <f t="shared" si="3"/>
        <v>John P and Kathryn G Evans Foundation_State Policy Network20201200</v>
      </c>
      <c r="C771" s="4" t="str">
        <f ca="1">IFERROR(__xludf.DUMMYFUNCTION("ARRAY_CONSTRAIN(ARRAYFORMULA(SINGLE(TEXTJOIN(""_"",TRUE,D771,G771))), 1, 1)"),"John P and Kathryn G Evans Foundation_2020")</f>
        <v>John P and Kathryn G Evans Foundation_2020</v>
      </c>
      <c r="D771" s="4" t="s">
        <v>132</v>
      </c>
      <c r="E771" s="8" t="s">
        <v>46</v>
      </c>
      <c r="F771" s="6">
        <v>1200</v>
      </c>
      <c r="G771" s="4">
        <v>2020</v>
      </c>
      <c r="H771" s="4" t="s">
        <v>361</v>
      </c>
    </row>
    <row r="772" spans="1:8" ht="15.75" customHeight="1" x14ac:dyDescent="0.2">
      <c r="A772" s="4">
        <v>990</v>
      </c>
      <c r="B772" s="4" t="str">
        <f t="shared" si="3"/>
        <v>John P and Kathryn G Evans Foundation_State Policy Network20191200</v>
      </c>
      <c r="C772" s="4" t="str">
        <f ca="1">IFERROR(__xludf.DUMMYFUNCTION("ARRAY_CONSTRAIN(ARRAYFORMULA(SINGLE(TEXTJOIN(""_"",TRUE,D772,G772))), 1, 1)"),"John P and Kathryn G Evans Foundation_2019")</f>
        <v>John P and Kathryn G Evans Foundation_2019</v>
      </c>
      <c r="D772" s="4" t="s">
        <v>132</v>
      </c>
      <c r="E772" s="8" t="s">
        <v>46</v>
      </c>
      <c r="F772" s="6">
        <v>1200</v>
      </c>
      <c r="G772" s="4">
        <v>2019</v>
      </c>
      <c r="H772" s="4" t="s">
        <v>361</v>
      </c>
    </row>
    <row r="773" spans="1:8" ht="15.75" customHeight="1" x14ac:dyDescent="0.2">
      <c r="A773" s="4" t="s">
        <v>572</v>
      </c>
      <c r="B773" s="4" t="str">
        <f t="shared" si="3"/>
        <v>John P and Kathryn G Evans Foundation_State Policy Network20181200</v>
      </c>
      <c r="C773" s="4" t="str">
        <f ca="1">IFERROR(__xludf.DUMMYFUNCTION("ARRAY_CONSTRAIN(ARRAYFORMULA(SINGLE(TEXTJOIN(""_"",TRUE,D773,G773))), 1, 1)"),"John P and Kathryn G Evans Foundation_2018")</f>
        <v>John P and Kathryn G Evans Foundation_2018</v>
      </c>
      <c r="D773" s="4" t="s">
        <v>132</v>
      </c>
      <c r="E773" s="8" t="s">
        <v>46</v>
      </c>
      <c r="F773" s="6">
        <v>1200</v>
      </c>
      <c r="G773" s="4">
        <v>2018</v>
      </c>
      <c r="H773" s="4" t="s">
        <v>361</v>
      </c>
    </row>
    <row r="774" spans="1:8" ht="15.75" customHeight="1" x14ac:dyDescent="0.2">
      <c r="A774" s="4">
        <v>990</v>
      </c>
      <c r="B774" s="4" t="str">
        <f t="shared" si="3"/>
        <v>John P and Kathryn G Evans Foundation_State Policy Network20171000</v>
      </c>
      <c r="C774" s="4" t="str">
        <f ca="1">IFERROR(__xludf.DUMMYFUNCTION("ARRAY_CONSTRAIN(ARRAYFORMULA(SINGLE(TEXTJOIN(""_"",TRUE,D774,G774))), 1, 1)"),"John P and Kathryn G Evans Foundation_2017")</f>
        <v>John P and Kathryn G Evans Foundation_2017</v>
      </c>
      <c r="D774" s="4" t="s">
        <v>132</v>
      </c>
      <c r="E774" s="8" t="s">
        <v>46</v>
      </c>
      <c r="F774" s="6">
        <v>1000</v>
      </c>
      <c r="G774" s="4">
        <v>2017</v>
      </c>
      <c r="H774" s="4" t="s">
        <v>361</v>
      </c>
    </row>
    <row r="775" spans="1:8" ht="15.75" customHeight="1" x14ac:dyDescent="0.2">
      <c r="A775" s="4">
        <v>990</v>
      </c>
      <c r="B775" s="4" t="str">
        <f t="shared" si="3"/>
        <v>John P and Kathryn G Evans Foundation_State Policy Network2016750</v>
      </c>
      <c r="C775" s="4" t="str">
        <f ca="1">IFERROR(__xludf.DUMMYFUNCTION("ARRAY_CONSTRAIN(ARRAYFORMULA(SINGLE(TEXTJOIN(""_"",TRUE,D775,G775))), 1, 1)"),"John P and Kathryn G Evans Foundation_2016")</f>
        <v>John P and Kathryn G Evans Foundation_2016</v>
      </c>
      <c r="D775" s="4" t="s">
        <v>132</v>
      </c>
      <c r="E775" s="8" t="s">
        <v>46</v>
      </c>
      <c r="F775" s="6">
        <v>750</v>
      </c>
      <c r="G775" s="4">
        <v>2016</v>
      </c>
      <c r="H775" s="4" t="s">
        <v>361</v>
      </c>
    </row>
    <row r="776" spans="1:8" ht="15.75" customHeight="1" x14ac:dyDescent="0.2">
      <c r="A776" s="4">
        <v>990</v>
      </c>
      <c r="B776" s="4" t="str">
        <f t="shared" si="3"/>
        <v>John P and Kathryn G Evans Foundation_State Policy Network2015600</v>
      </c>
      <c r="C776" s="4" t="str">
        <f ca="1">IFERROR(__xludf.DUMMYFUNCTION("ARRAY_CONSTRAIN(ARRAYFORMULA(SINGLE(TEXTJOIN(""_"",TRUE,D776,G776))), 1, 1)"),"John P and Kathryn G Evans Foundation_2015")</f>
        <v>John P and Kathryn G Evans Foundation_2015</v>
      </c>
      <c r="D776" s="4" t="s">
        <v>132</v>
      </c>
      <c r="E776" s="8" t="s">
        <v>46</v>
      </c>
      <c r="F776" s="6">
        <v>600</v>
      </c>
      <c r="G776" s="4">
        <v>2015</v>
      </c>
      <c r="H776" s="4" t="s">
        <v>361</v>
      </c>
    </row>
    <row r="777" spans="1:8" ht="15.75" customHeight="1" x14ac:dyDescent="0.2">
      <c r="A777" s="4">
        <v>990</v>
      </c>
      <c r="B777" s="4" t="str">
        <f t="shared" si="3"/>
        <v>John P and Kathryn G Evans Foundation_State Policy Network2014600</v>
      </c>
      <c r="C777" s="4" t="str">
        <f ca="1">IFERROR(__xludf.DUMMYFUNCTION("ARRAY_CONSTRAIN(ARRAYFORMULA(SINGLE(TEXTJOIN(""_"",TRUE,D777,G777))), 1, 1)"),"John P and Kathryn G Evans Foundation_2014")</f>
        <v>John P and Kathryn G Evans Foundation_2014</v>
      </c>
      <c r="D777" s="4" t="s">
        <v>132</v>
      </c>
      <c r="E777" s="8" t="s">
        <v>46</v>
      </c>
      <c r="F777" s="6">
        <v>600</v>
      </c>
      <c r="G777" s="4">
        <v>2014</v>
      </c>
      <c r="H777" s="4" t="s">
        <v>361</v>
      </c>
    </row>
    <row r="778" spans="1:8" ht="15.75" customHeight="1" x14ac:dyDescent="0.2">
      <c r="A778" s="4">
        <v>990</v>
      </c>
      <c r="B778" s="4" t="str">
        <f t="shared" si="3"/>
        <v>John P and Kathryn G Evans Foundation_State Policy Network2013500</v>
      </c>
      <c r="C778" s="4" t="str">
        <f ca="1">IFERROR(__xludf.DUMMYFUNCTION("ARRAY_CONSTRAIN(ARRAYFORMULA(SINGLE(TEXTJOIN(""_"",TRUE,D778,G778))), 1, 1)"),"John P and Kathryn G Evans Foundation_2013")</f>
        <v>John P and Kathryn G Evans Foundation_2013</v>
      </c>
      <c r="D778" s="4" t="s">
        <v>132</v>
      </c>
      <c r="E778" s="8" t="s">
        <v>46</v>
      </c>
      <c r="F778" s="6">
        <v>500</v>
      </c>
      <c r="G778" s="4">
        <v>2013</v>
      </c>
      <c r="H778" s="4" t="s">
        <v>361</v>
      </c>
    </row>
    <row r="779" spans="1:8" ht="15.75" customHeight="1" x14ac:dyDescent="0.2">
      <c r="A779" s="5" t="s">
        <v>573</v>
      </c>
      <c r="B779" s="4" t="str">
        <f t="shared" si="3"/>
        <v>John W and Wanda W Wirtz Charitable Foundation_State Policy Network2011400</v>
      </c>
      <c r="C779" s="4" t="str">
        <f ca="1">IFERROR(__xludf.DUMMYFUNCTION("ARRAY_CONSTRAIN(ARRAYFORMULA(SINGLE(TEXTJOIN(""_"",TRUE,D779,G779))), 1, 1)"),"John W and Wanda W Wirtz Charitable Foundation_2011")</f>
        <v>John W and Wanda W Wirtz Charitable Foundation_2011</v>
      </c>
      <c r="D779" s="4" t="s">
        <v>206</v>
      </c>
      <c r="E779" s="8" t="s">
        <v>46</v>
      </c>
      <c r="F779" s="6">
        <v>400</v>
      </c>
      <c r="G779" s="4">
        <v>2011</v>
      </c>
      <c r="H779" s="4" t="s">
        <v>361</v>
      </c>
    </row>
    <row r="780" spans="1:8" ht="15.75" customHeight="1" x14ac:dyDescent="0.2">
      <c r="A780" s="4">
        <v>990</v>
      </c>
      <c r="B780" s="4" t="str">
        <f t="shared" si="3"/>
        <v>John William Pope Foundation_State Policy Network2022150000</v>
      </c>
      <c r="C780" s="4" t="str">
        <f ca="1">IFERROR(__xludf.DUMMYFUNCTION("ARRAY_CONSTRAIN(ARRAYFORMULA(SINGLE(TEXTJOIN(""_"",TRUE,D780,G780))), 1, 1)"),"John William Pope Foundation_2022")</f>
        <v>John William Pope Foundation_2022</v>
      </c>
      <c r="D780" s="4" t="s">
        <v>26</v>
      </c>
      <c r="E780" s="8" t="s">
        <v>46</v>
      </c>
      <c r="F780" s="6">
        <v>150000</v>
      </c>
      <c r="G780" s="4">
        <v>2022</v>
      </c>
      <c r="H780" s="4" t="s">
        <v>361</v>
      </c>
    </row>
    <row r="781" spans="1:8" ht="15.75" customHeight="1" x14ac:dyDescent="0.2">
      <c r="A781" s="4">
        <v>990</v>
      </c>
      <c r="B781" s="4" t="str">
        <f t="shared" si="3"/>
        <v>John William Pope Foundation_State Policy Network2022120000</v>
      </c>
      <c r="C781" s="4" t="str">
        <f ca="1">IFERROR(__xludf.DUMMYFUNCTION("ARRAY_CONSTRAIN(ARRAYFORMULA(SINGLE(TEXTJOIN(""_"",TRUE,D781,G781))), 1, 1)"),"John William Pope Foundation_2022")</f>
        <v>John William Pope Foundation_2022</v>
      </c>
      <c r="D781" s="4" t="s">
        <v>26</v>
      </c>
      <c r="E781" s="8" t="s">
        <v>46</v>
      </c>
      <c r="F781" s="6">
        <v>120000</v>
      </c>
      <c r="G781" s="4">
        <v>2022</v>
      </c>
      <c r="H781" s="4" t="s">
        <v>361</v>
      </c>
    </row>
    <row r="782" spans="1:8" ht="15.75" customHeight="1" x14ac:dyDescent="0.2">
      <c r="A782" s="4">
        <v>990</v>
      </c>
      <c r="B782" s="4" t="str">
        <f t="shared" si="3"/>
        <v>John William Pope Foundation_State Policy Network202160000</v>
      </c>
      <c r="C782" s="4" t="str">
        <f ca="1">IFERROR(__xludf.DUMMYFUNCTION("ARRAY_CONSTRAIN(ARRAYFORMULA(SINGLE(TEXTJOIN(""_"",TRUE,D782,G782))), 1, 1)"),"John William Pope Foundation_2021")</f>
        <v>John William Pope Foundation_2021</v>
      </c>
      <c r="D782" s="4" t="s">
        <v>26</v>
      </c>
      <c r="E782" s="8" t="s">
        <v>46</v>
      </c>
      <c r="F782" s="6">
        <v>60000</v>
      </c>
      <c r="G782" s="4">
        <v>2021</v>
      </c>
      <c r="H782" s="4" t="s">
        <v>361</v>
      </c>
    </row>
    <row r="783" spans="1:8" ht="15.75" customHeight="1" x14ac:dyDescent="0.2">
      <c r="A783" s="4">
        <v>990</v>
      </c>
      <c r="B783" s="4" t="str">
        <f t="shared" si="3"/>
        <v>John William Pope Foundation_State Policy Network202060000</v>
      </c>
      <c r="C783" s="4" t="str">
        <f ca="1">IFERROR(__xludf.DUMMYFUNCTION("ARRAY_CONSTRAIN(ARRAYFORMULA(SINGLE(TEXTJOIN(""_"",TRUE,D783,G783))), 1, 1)"),"John William Pope Foundation_2020")</f>
        <v>John William Pope Foundation_2020</v>
      </c>
      <c r="D783" s="4" t="s">
        <v>26</v>
      </c>
      <c r="E783" s="8" t="s">
        <v>46</v>
      </c>
      <c r="F783" s="6">
        <v>60000</v>
      </c>
      <c r="G783" s="4">
        <v>2020</v>
      </c>
      <c r="H783" s="4" t="s">
        <v>361</v>
      </c>
    </row>
    <row r="784" spans="1:8" ht="15.75" customHeight="1" x14ac:dyDescent="0.2">
      <c r="A784" s="4" t="s">
        <v>368</v>
      </c>
      <c r="B784" s="4" t="str">
        <f t="shared" si="3"/>
        <v>John William Pope Foundation_State Policy Network20131000</v>
      </c>
      <c r="C784" s="4" t="str">
        <f ca="1">IFERROR(__xludf.DUMMYFUNCTION("ARRAY_CONSTRAIN(ARRAYFORMULA(SINGLE(TEXTJOIN(""_"",TRUE,D784,G784))), 1, 1)"),"John William Pope Foundation_2013")</f>
        <v>John William Pope Foundation_2013</v>
      </c>
      <c r="D784" s="4" t="s">
        <v>26</v>
      </c>
      <c r="E784" s="8" t="s">
        <v>46</v>
      </c>
      <c r="F784" s="6">
        <v>1000</v>
      </c>
      <c r="G784" s="4">
        <v>2013</v>
      </c>
      <c r="H784" s="4" t="s">
        <v>359</v>
      </c>
    </row>
    <row r="785" spans="1:8" ht="15.75" customHeight="1" x14ac:dyDescent="0.2">
      <c r="A785" s="4" t="s">
        <v>368</v>
      </c>
      <c r="B785" s="4" t="str">
        <f t="shared" si="3"/>
        <v>John William Pope Foundation_State Policy Network201325000</v>
      </c>
      <c r="C785" s="4" t="str">
        <f ca="1">IFERROR(__xludf.DUMMYFUNCTION("ARRAY_CONSTRAIN(ARRAYFORMULA(SINGLE(TEXTJOIN(""_"",TRUE,D785,G785))), 1, 1)"),"John William Pope Foundation_2013")</f>
        <v>John William Pope Foundation_2013</v>
      </c>
      <c r="D785" s="4" t="s">
        <v>26</v>
      </c>
      <c r="E785" s="8" t="s">
        <v>46</v>
      </c>
      <c r="F785" s="6">
        <v>25000</v>
      </c>
      <c r="G785" s="4">
        <v>2013</v>
      </c>
      <c r="H785" s="4" t="s">
        <v>359</v>
      </c>
    </row>
    <row r="786" spans="1:8" ht="15.75" customHeight="1" x14ac:dyDescent="0.2">
      <c r="A786" s="4" t="s">
        <v>368</v>
      </c>
      <c r="B786" s="4" t="str">
        <f t="shared" si="3"/>
        <v>John William Pope Foundation_State Policy Network201225000</v>
      </c>
      <c r="C786" s="4" t="str">
        <f ca="1">IFERROR(__xludf.DUMMYFUNCTION("ARRAY_CONSTRAIN(ARRAYFORMULA(SINGLE(TEXTJOIN(""_"",TRUE,D786,G786))), 1, 1)"),"John William Pope Foundation_2012")</f>
        <v>John William Pope Foundation_2012</v>
      </c>
      <c r="D786" s="4" t="s">
        <v>26</v>
      </c>
      <c r="E786" s="8" t="s">
        <v>46</v>
      </c>
      <c r="F786" s="6">
        <v>25000</v>
      </c>
      <c r="G786" s="4">
        <v>2012</v>
      </c>
      <c r="H786" s="4" t="s">
        <v>359</v>
      </c>
    </row>
    <row r="787" spans="1:8" ht="15.75" customHeight="1" x14ac:dyDescent="0.2">
      <c r="A787" s="4" t="s">
        <v>368</v>
      </c>
      <c r="B787" s="4" t="str">
        <f t="shared" si="3"/>
        <v>John William Pope Foundation_State Policy Network201125000</v>
      </c>
      <c r="C787" s="4" t="str">
        <f ca="1">IFERROR(__xludf.DUMMYFUNCTION("ARRAY_CONSTRAIN(ARRAYFORMULA(SINGLE(TEXTJOIN(""_"",TRUE,D787,G787))), 1, 1)"),"John William Pope Foundation_2011")</f>
        <v>John William Pope Foundation_2011</v>
      </c>
      <c r="D787" s="4" t="s">
        <v>26</v>
      </c>
      <c r="E787" s="8" t="s">
        <v>46</v>
      </c>
      <c r="F787" s="6">
        <v>25000</v>
      </c>
      <c r="G787" s="4">
        <v>2011</v>
      </c>
      <c r="H787" s="4" t="s">
        <v>359</v>
      </c>
    </row>
    <row r="788" spans="1:8" ht="15.75" customHeight="1" x14ac:dyDescent="0.2">
      <c r="A788" s="4" t="s">
        <v>368</v>
      </c>
      <c r="B788" s="4" t="str">
        <f t="shared" si="3"/>
        <v>John William Pope Foundation_State Policy Network201025000</v>
      </c>
      <c r="C788" s="4" t="str">
        <f ca="1">IFERROR(__xludf.DUMMYFUNCTION("ARRAY_CONSTRAIN(ARRAYFORMULA(SINGLE(TEXTJOIN(""_"",TRUE,D788,G788))), 1, 1)"),"John William Pope Foundation_2010")</f>
        <v>John William Pope Foundation_2010</v>
      </c>
      <c r="D788" s="4" t="s">
        <v>26</v>
      </c>
      <c r="E788" s="8" t="s">
        <v>46</v>
      </c>
      <c r="F788" s="6">
        <v>25000</v>
      </c>
      <c r="G788" s="4">
        <v>2010</v>
      </c>
      <c r="H788" s="4" t="s">
        <v>359</v>
      </c>
    </row>
    <row r="789" spans="1:8" ht="15.75" customHeight="1" x14ac:dyDescent="0.2">
      <c r="A789" s="5" t="s">
        <v>574</v>
      </c>
      <c r="B789" s="4" t="str">
        <f t="shared" si="3"/>
        <v>Keller Family Charitable Trust_State Policy Network2011500</v>
      </c>
      <c r="C789" s="4" t="str">
        <f ca="1">IFERROR(__xludf.DUMMYFUNCTION("ARRAY_CONSTRAIN(ARRAYFORMULA(SINGLE(TEXTJOIN(""_"",TRUE,D789,G789))), 1, 1)"),"Keller Family Charitable Trust_2011")</f>
        <v>Keller Family Charitable Trust_2011</v>
      </c>
      <c r="D789" s="4" t="s">
        <v>199</v>
      </c>
      <c r="E789" s="8" t="s">
        <v>46</v>
      </c>
      <c r="F789" s="6">
        <v>500</v>
      </c>
      <c r="G789" s="4">
        <v>2011</v>
      </c>
      <c r="H789" s="4" t="s">
        <v>361</v>
      </c>
    </row>
    <row r="790" spans="1:8" ht="15.75" customHeight="1" x14ac:dyDescent="0.2">
      <c r="A790" s="5" t="s">
        <v>575</v>
      </c>
      <c r="B790" s="4" t="str">
        <f t="shared" si="3"/>
        <v>Kelly Family Foundation_State Policy Network20221000</v>
      </c>
      <c r="C790" s="4" t="str">
        <f ca="1">IFERROR(__xludf.DUMMYFUNCTION("ARRAY_CONSTRAIN(ARRAYFORMULA(SINGLE(TEXTJOIN(""_"",TRUE,D790,G790))), 1, 1)"),"Kelly Family Foundation_2022")</f>
        <v>Kelly Family Foundation_2022</v>
      </c>
      <c r="D790" s="4" t="s">
        <v>166</v>
      </c>
      <c r="E790" s="8" t="s">
        <v>46</v>
      </c>
      <c r="F790" s="6">
        <v>1000</v>
      </c>
      <c r="G790" s="4">
        <v>2022</v>
      </c>
      <c r="H790" s="4" t="s">
        <v>361</v>
      </c>
    </row>
    <row r="791" spans="1:8" ht="15.75" customHeight="1" x14ac:dyDescent="0.2">
      <c r="A791" s="5" t="s">
        <v>576</v>
      </c>
      <c r="B791" s="4" t="str">
        <f t="shared" si="3"/>
        <v>Kelly Family Foundation_State Policy Network20211000</v>
      </c>
      <c r="C791" s="4" t="str">
        <f ca="1">IFERROR(__xludf.DUMMYFUNCTION("ARRAY_CONSTRAIN(ARRAYFORMULA(SINGLE(TEXTJOIN(""_"",TRUE,D791,G791))), 1, 1)"),"Kelly Family Foundation_2021")</f>
        <v>Kelly Family Foundation_2021</v>
      </c>
      <c r="D791" s="4" t="s">
        <v>166</v>
      </c>
      <c r="E791" s="8" t="s">
        <v>46</v>
      </c>
      <c r="F791" s="6">
        <v>1000</v>
      </c>
      <c r="G791" s="4">
        <v>2021</v>
      </c>
      <c r="H791" s="4" t="s">
        <v>361</v>
      </c>
    </row>
    <row r="792" spans="1:8" ht="15.75" customHeight="1" x14ac:dyDescent="0.2">
      <c r="A792" s="4">
        <v>990</v>
      </c>
      <c r="B792" s="4" t="str">
        <f t="shared" si="3"/>
        <v>Ken W Davis Foundation_State Policy Network20229100</v>
      </c>
      <c r="C792" s="4" t="str">
        <f ca="1">IFERROR(__xludf.DUMMYFUNCTION("ARRAY_CONSTRAIN(ARRAYFORMULA(SINGLE(TEXTJOIN(""_"",TRUE,D792,G792))), 1, 1)"),"Ken W Davis Foundation_2022")</f>
        <v>Ken W Davis Foundation_2022</v>
      </c>
      <c r="D792" s="4" t="s">
        <v>57</v>
      </c>
      <c r="E792" s="8" t="s">
        <v>46</v>
      </c>
      <c r="F792" s="6">
        <v>9100</v>
      </c>
      <c r="G792" s="4">
        <v>2022</v>
      </c>
      <c r="H792" s="4" t="s">
        <v>361</v>
      </c>
    </row>
    <row r="793" spans="1:8" ht="15.75" customHeight="1" x14ac:dyDescent="0.2">
      <c r="A793" s="4">
        <v>990</v>
      </c>
      <c r="B793" s="4" t="str">
        <f t="shared" si="3"/>
        <v>Ken W Davis Foundation_State Policy Network20215500</v>
      </c>
      <c r="C793" s="4" t="str">
        <f ca="1">IFERROR(__xludf.DUMMYFUNCTION("ARRAY_CONSTRAIN(ARRAYFORMULA(SINGLE(TEXTJOIN(""_"",TRUE,D793,G793))), 1, 1)"),"Ken W Davis Foundation_2021")</f>
        <v>Ken W Davis Foundation_2021</v>
      </c>
      <c r="D793" s="4" t="s">
        <v>57</v>
      </c>
      <c r="E793" s="8" t="s">
        <v>46</v>
      </c>
      <c r="F793" s="6">
        <v>5500</v>
      </c>
      <c r="G793" s="4">
        <v>2021</v>
      </c>
      <c r="H793" s="4" t="s">
        <v>361</v>
      </c>
    </row>
    <row r="794" spans="1:8" ht="15.75" customHeight="1" x14ac:dyDescent="0.2">
      <c r="A794" s="4">
        <v>990</v>
      </c>
      <c r="B794" s="4" t="str">
        <f t="shared" si="3"/>
        <v>Ken W Davis Foundation_State Policy Network20207500</v>
      </c>
      <c r="C794" s="4" t="str">
        <f ca="1">IFERROR(__xludf.DUMMYFUNCTION("ARRAY_CONSTRAIN(ARRAYFORMULA(SINGLE(TEXTJOIN(""_"",TRUE,D794,G794))), 1, 1)"),"Ken W Davis Foundation_2020")</f>
        <v>Ken W Davis Foundation_2020</v>
      </c>
      <c r="D794" s="4" t="s">
        <v>57</v>
      </c>
      <c r="E794" s="8" t="s">
        <v>46</v>
      </c>
      <c r="F794" s="6">
        <v>7500</v>
      </c>
      <c r="G794" s="4">
        <v>2020</v>
      </c>
      <c r="H794" s="4" t="s">
        <v>361</v>
      </c>
    </row>
    <row r="795" spans="1:8" ht="15.75" customHeight="1" x14ac:dyDescent="0.2">
      <c r="A795" s="4">
        <v>990</v>
      </c>
      <c r="B795" s="4" t="str">
        <f t="shared" si="3"/>
        <v>Ken W Davis Foundation_State Policy Network20195000</v>
      </c>
      <c r="C795" s="4" t="str">
        <f ca="1">IFERROR(__xludf.DUMMYFUNCTION("ARRAY_CONSTRAIN(ARRAYFORMULA(SINGLE(TEXTJOIN(""_"",TRUE,D795,G795))), 1, 1)"),"Ken W Davis Foundation_2019")</f>
        <v>Ken W Davis Foundation_2019</v>
      </c>
      <c r="D795" s="4" t="s">
        <v>57</v>
      </c>
      <c r="E795" s="8" t="s">
        <v>46</v>
      </c>
      <c r="F795" s="6">
        <v>5000</v>
      </c>
      <c r="G795" s="4">
        <v>2019</v>
      </c>
      <c r="H795" s="4" t="s">
        <v>361</v>
      </c>
    </row>
    <row r="796" spans="1:8" ht="15.75" customHeight="1" x14ac:dyDescent="0.2">
      <c r="A796" s="4">
        <v>990</v>
      </c>
      <c r="B796" s="4" t="str">
        <f t="shared" si="3"/>
        <v>Ken W Davis Foundation_State Policy Network20185000</v>
      </c>
      <c r="C796" s="4" t="str">
        <f ca="1">IFERROR(__xludf.DUMMYFUNCTION("ARRAY_CONSTRAIN(ARRAYFORMULA(SINGLE(TEXTJOIN(""_"",TRUE,D796,G796))), 1, 1)"),"Ken W Davis Foundation_2018")</f>
        <v>Ken W Davis Foundation_2018</v>
      </c>
      <c r="D796" s="4" t="s">
        <v>57</v>
      </c>
      <c r="E796" s="8" t="s">
        <v>46</v>
      </c>
      <c r="F796" s="6">
        <v>5000</v>
      </c>
      <c r="G796" s="4">
        <v>2018</v>
      </c>
      <c r="H796" s="4" t="s">
        <v>361</v>
      </c>
    </row>
    <row r="797" spans="1:8" ht="15.75" customHeight="1" x14ac:dyDescent="0.2">
      <c r="A797" s="4">
        <v>990</v>
      </c>
      <c r="B797" s="4" t="str">
        <f t="shared" si="3"/>
        <v>Ken W Davis Foundation_State Policy Network20173000</v>
      </c>
      <c r="C797" s="4" t="str">
        <f ca="1">IFERROR(__xludf.DUMMYFUNCTION("ARRAY_CONSTRAIN(ARRAYFORMULA(SINGLE(TEXTJOIN(""_"",TRUE,D797,G797))), 1, 1)"),"Ken W Davis Foundation_2017")</f>
        <v>Ken W Davis Foundation_2017</v>
      </c>
      <c r="D797" s="4" t="s">
        <v>57</v>
      </c>
      <c r="E797" s="8" t="s">
        <v>46</v>
      </c>
      <c r="F797" s="6">
        <v>3000</v>
      </c>
      <c r="G797" s="4">
        <v>2017</v>
      </c>
      <c r="H797" s="4" t="s">
        <v>361</v>
      </c>
    </row>
    <row r="798" spans="1:8" ht="15.75" customHeight="1" x14ac:dyDescent="0.2">
      <c r="A798" s="4">
        <v>990</v>
      </c>
      <c r="B798" s="4" t="str">
        <f t="shared" si="3"/>
        <v>Ken W Davis Foundation_State Policy Network20165000</v>
      </c>
      <c r="C798" s="4" t="str">
        <f ca="1">IFERROR(__xludf.DUMMYFUNCTION("ARRAY_CONSTRAIN(ARRAYFORMULA(SINGLE(TEXTJOIN(""_"",TRUE,D798,G798))), 1, 1)"),"Ken W Davis Foundation_2016")</f>
        <v>Ken W Davis Foundation_2016</v>
      </c>
      <c r="D798" s="4" t="s">
        <v>57</v>
      </c>
      <c r="E798" s="8" t="s">
        <v>46</v>
      </c>
      <c r="F798" s="6">
        <v>5000</v>
      </c>
      <c r="G798" s="4">
        <v>2016</v>
      </c>
      <c r="H798" s="4" t="s">
        <v>361</v>
      </c>
    </row>
    <row r="799" spans="1:8" ht="15.75" customHeight="1" x14ac:dyDescent="0.2">
      <c r="A799" s="4">
        <v>990</v>
      </c>
      <c r="B799" s="4" t="str">
        <f t="shared" si="3"/>
        <v>Ken W Davis Foundation_State Policy Network20157500</v>
      </c>
      <c r="C799" s="4" t="str">
        <f ca="1">IFERROR(__xludf.DUMMYFUNCTION("ARRAY_CONSTRAIN(ARRAYFORMULA(SINGLE(TEXTJOIN(""_"",TRUE,D799,G799))), 1, 1)"),"Ken W Davis Foundation_2015")</f>
        <v>Ken W Davis Foundation_2015</v>
      </c>
      <c r="D799" s="4" t="s">
        <v>57</v>
      </c>
      <c r="E799" s="8" t="s">
        <v>46</v>
      </c>
      <c r="F799" s="6">
        <v>7500</v>
      </c>
      <c r="G799" s="4">
        <v>2015</v>
      </c>
      <c r="H799" s="4" t="s">
        <v>361</v>
      </c>
    </row>
    <row r="800" spans="1:8" ht="15.75" customHeight="1" x14ac:dyDescent="0.2">
      <c r="A800" s="4">
        <v>990</v>
      </c>
      <c r="B800" s="4" t="str">
        <f t="shared" si="3"/>
        <v>Ken W Davis Foundation_State Policy Network20147500</v>
      </c>
      <c r="C800" s="4" t="str">
        <f ca="1">IFERROR(__xludf.DUMMYFUNCTION("ARRAY_CONSTRAIN(ARRAYFORMULA(SINGLE(TEXTJOIN(""_"",TRUE,D800,G800))), 1, 1)"),"Ken W Davis Foundation_2014")</f>
        <v>Ken W Davis Foundation_2014</v>
      </c>
      <c r="D800" s="4" t="s">
        <v>57</v>
      </c>
      <c r="E800" s="8" t="s">
        <v>46</v>
      </c>
      <c r="F800" s="6">
        <v>7500</v>
      </c>
      <c r="G800" s="4">
        <v>2014</v>
      </c>
      <c r="H800" s="4" t="s">
        <v>361</v>
      </c>
    </row>
    <row r="801" spans="1:8" ht="15.75" customHeight="1" x14ac:dyDescent="0.2">
      <c r="A801" s="4">
        <v>990</v>
      </c>
      <c r="B801" s="4" t="str">
        <f t="shared" si="3"/>
        <v>Ken W Davis Foundation_State Policy Network201310000</v>
      </c>
      <c r="C801" s="4" t="str">
        <f ca="1">IFERROR(__xludf.DUMMYFUNCTION("ARRAY_CONSTRAIN(ARRAYFORMULA(SINGLE(TEXTJOIN(""_"",TRUE,D801,G801))), 1, 1)"),"Ken W Davis Foundation_2013")</f>
        <v>Ken W Davis Foundation_2013</v>
      </c>
      <c r="D801" s="4" t="s">
        <v>57</v>
      </c>
      <c r="E801" s="8" t="s">
        <v>46</v>
      </c>
      <c r="F801" s="6">
        <v>10000</v>
      </c>
      <c r="G801" s="4">
        <v>2013</v>
      </c>
      <c r="H801" s="4" t="s">
        <v>361</v>
      </c>
    </row>
    <row r="802" spans="1:8" ht="15.75" customHeight="1" x14ac:dyDescent="0.2">
      <c r="A802" s="4">
        <v>990</v>
      </c>
      <c r="B802" s="4" t="str">
        <f t="shared" si="3"/>
        <v>Ken W Davis Foundation_State Policy Network20128500</v>
      </c>
      <c r="C802" s="4" t="str">
        <f ca="1">IFERROR(__xludf.DUMMYFUNCTION("ARRAY_CONSTRAIN(ARRAYFORMULA(SINGLE(TEXTJOIN(""_"",TRUE,D802,G802))), 1, 1)"),"Ken W Davis Foundation_2012")</f>
        <v>Ken W Davis Foundation_2012</v>
      </c>
      <c r="D802" s="4" t="s">
        <v>57</v>
      </c>
      <c r="E802" s="8" t="s">
        <v>46</v>
      </c>
      <c r="F802" s="6">
        <v>8500</v>
      </c>
      <c r="G802" s="4">
        <v>2012</v>
      </c>
      <c r="H802" s="4" t="s">
        <v>361</v>
      </c>
    </row>
    <row r="803" spans="1:8" ht="15.75" customHeight="1" x14ac:dyDescent="0.2">
      <c r="A803" s="4">
        <v>990</v>
      </c>
      <c r="B803" s="4" t="str">
        <f t="shared" si="3"/>
        <v>Ken W Davis Foundation_State Policy Network20117500</v>
      </c>
      <c r="C803" s="4" t="str">
        <f ca="1">IFERROR(__xludf.DUMMYFUNCTION("ARRAY_CONSTRAIN(ARRAYFORMULA(SINGLE(TEXTJOIN(""_"",TRUE,D803,G803))), 1, 1)"),"Ken W Davis Foundation_2011")</f>
        <v>Ken W Davis Foundation_2011</v>
      </c>
      <c r="D803" s="4" t="s">
        <v>57</v>
      </c>
      <c r="E803" s="8" t="s">
        <v>46</v>
      </c>
      <c r="F803" s="6">
        <v>7500</v>
      </c>
      <c r="G803" s="4">
        <v>2011</v>
      </c>
      <c r="H803" s="4" t="s">
        <v>361</v>
      </c>
    </row>
    <row r="804" spans="1:8" ht="15.75" customHeight="1" x14ac:dyDescent="0.2">
      <c r="A804" s="4">
        <v>990</v>
      </c>
      <c r="B804" s="4" t="str">
        <f t="shared" si="3"/>
        <v>Ken W Davis Foundation_State Policy Network20101000</v>
      </c>
      <c r="C804" s="4" t="str">
        <f ca="1">IFERROR(__xludf.DUMMYFUNCTION("ARRAY_CONSTRAIN(ARRAYFORMULA(SINGLE(TEXTJOIN(""_"",TRUE,D804,G804))), 1, 1)"),"Ken W Davis Foundation_2010")</f>
        <v>Ken W Davis Foundation_2010</v>
      </c>
      <c r="D804" s="4" t="s">
        <v>57</v>
      </c>
      <c r="E804" s="8" t="s">
        <v>46</v>
      </c>
      <c r="F804" s="6">
        <v>1000</v>
      </c>
      <c r="G804" s="4">
        <v>2010</v>
      </c>
      <c r="H804" s="4" t="s">
        <v>361</v>
      </c>
    </row>
    <row r="805" spans="1:8" ht="15.75" customHeight="1" x14ac:dyDescent="0.2">
      <c r="A805" s="4">
        <v>990</v>
      </c>
      <c r="B805" s="4" t="str">
        <f t="shared" si="3"/>
        <v>Kickapoo Springs Foundation_State Policy Network20211500</v>
      </c>
      <c r="C805" s="4" t="str">
        <f ca="1">IFERROR(__xludf.DUMMYFUNCTION("ARRAY_CONSTRAIN(ARRAYFORMULA(SINGLE(TEXTJOIN(""_"",TRUE,D805,G805))), 1, 1)"),"Kickapoo Springs Foundation_2021")</f>
        <v>Kickapoo Springs Foundation_2021</v>
      </c>
      <c r="D805" s="4" t="s">
        <v>108</v>
      </c>
      <c r="E805" s="8" t="s">
        <v>46</v>
      </c>
      <c r="F805" s="6">
        <v>1500</v>
      </c>
      <c r="G805" s="4">
        <v>2021</v>
      </c>
      <c r="H805" s="4" t="s">
        <v>361</v>
      </c>
    </row>
    <row r="806" spans="1:8" ht="15.75" customHeight="1" x14ac:dyDescent="0.2">
      <c r="A806" s="4">
        <v>990</v>
      </c>
      <c r="B806" s="4" t="str">
        <f t="shared" si="3"/>
        <v>Kickapoo Springs Foundation_State Policy Network20201500</v>
      </c>
      <c r="C806" s="4" t="str">
        <f ca="1">IFERROR(__xludf.DUMMYFUNCTION("ARRAY_CONSTRAIN(ARRAYFORMULA(SINGLE(TEXTJOIN(""_"",TRUE,D806,G806))), 1, 1)"),"Kickapoo Springs Foundation_2020")</f>
        <v>Kickapoo Springs Foundation_2020</v>
      </c>
      <c r="D806" s="4" t="s">
        <v>108</v>
      </c>
      <c r="E806" s="8" t="s">
        <v>46</v>
      </c>
      <c r="F806" s="6">
        <v>1500</v>
      </c>
      <c r="G806" s="4">
        <v>2020</v>
      </c>
      <c r="H806" s="4" t="s">
        <v>361</v>
      </c>
    </row>
    <row r="807" spans="1:8" ht="15.75" customHeight="1" x14ac:dyDescent="0.2">
      <c r="A807" s="4">
        <v>990</v>
      </c>
      <c r="B807" s="4" t="str">
        <f t="shared" si="3"/>
        <v>Kickapoo Springs Foundation_State Policy Network20191500</v>
      </c>
      <c r="C807" s="4" t="str">
        <f ca="1">IFERROR(__xludf.DUMMYFUNCTION("ARRAY_CONSTRAIN(ARRAYFORMULA(SINGLE(TEXTJOIN(""_"",TRUE,D807,G807))), 1, 1)"),"Kickapoo Springs Foundation_2019")</f>
        <v>Kickapoo Springs Foundation_2019</v>
      </c>
      <c r="D807" s="4" t="s">
        <v>108</v>
      </c>
      <c r="E807" s="8" t="s">
        <v>46</v>
      </c>
      <c r="F807" s="6">
        <v>1500</v>
      </c>
      <c r="G807" s="4">
        <v>2019</v>
      </c>
      <c r="H807" s="4" t="s">
        <v>361</v>
      </c>
    </row>
    <row r="808" spans="1:8" ht="15.75" customHeight="1" x14ac:dyDescent="0.2">
      <c r="A808" s="4">
        <v>990</v>
      </c>
      <c r="B808" s="4" t="str">
        <f t="shared" si="3"/>
        <v>Kickapoo Springs Foundation_State Policy Network20181500</v>
      </c>
      <c r="C808" s="4" t="str">
        <f ca="1">IFERROR(__xludf.DUMMYFUNCTION("ARRAY_CONSTRAIN(ARRAYFORMULA(SINGLE(TEXTJOIN(""_"",TRUE,D808,G808))), 1, 1)"),"Kickapoo Springs Foundation_2018")</f>
        <v>Kickapoo Springs Foundation_2018</v>
      </c>
      <c r="D808" s="4" t="s">
        <v>108</v>
      </c>
      <c r="E808" s="8" t="s">
        <v>46</v>
      </c>
      <c r="F808" s="6">
        <v>1500</v>
      </c>
      <c r="G808" s="4">
        <v>2018</v>
      </c>
      <c r="H808" s="4" t="s">
        <v>361</v>
      </c>
    </row>
    <row r="809" spans="1:8" ht="15.75" customHeight="1" x14ac:dyDescent="0.2">
      <c r="A809" s="4">
        <v>990</v>
      </c>
      <c r="B809" s="4" t="str">
        <f t="shared" si="3"/>
        <v>Kickapoo Springs Foundation_State Policy Network20171500</v>
      </c>
      <c r="C809" s="4" t="str">
        <f ca="1">IFERROR(__xludf.DUMMYFUNCTION("ARRAY_CONSTRAIN(ARRAYFORMULA(SINGLE(TEXTJOIN(""_"",TRUE,D809,G809))), 1, 1)"),"Kickapoo Springs Foundation_2017")</f>
        <v>Kickapoo Springs Foundation_2017</v>
      </c>
      <c r="D809" s="4" t="s">
        <v>108</v>
      </c>
      <c r="E809" s="8" t="s">
        <v>46</v>
      </c>
      <c r="F809" s="6">
        <v>1500</v>
      </c>
      <c r="G809" s="4">
        <v>2017</v>
      </c>
      <c r="H809" s="4" t="s">
        <v>361</v>
      </c>
    </row>
    <row r="810" spans="1:8" ht="15.75" customHeight="1" x14ac:dyDescent="0.2">
      <c r="A810" s="4">
        <v>990</v>
      </c>
      <c r="B810" s="4" t="str">
        <f t="shared" si="3"/>
        <v>Kickapoo Springs Foundation_State Policy Network20161500</v>
      </c>
      <c r="C810" s="4" t="str">
        <f ca="1">IFERROR(__xludf.DUMMYFUNCTION("ARRAY_CONSTRAIN(ARRAYFORMULA(SINGLE(TEXTJOIN(""_"",TRUE,D810,G810))), 1, 1)"),"Kickapoo Springs Foundation_2016")</f>
        <v>Kickapoo Springs Foundation_2016</v>
      </c>
      <c r="D810" s="4" t="s">
        <v>108</v>
      </c>
      <c r="E810" s="8" t="s">
        <v>46</v>
      </c>
      <c r="F810" s="6">
        <v>1500</v>
      </c>
      <c r="G810" s="4">
        <v>2016</v>
      </c>
      <c r="H810" s="4" t="s">
        <v>361</v>
      </c>
    </row>
    <row r="811" spans="1:8" ht="15.75" customHeight="1" x14ac:dyDescent="0.2">
      <c r="A811" s="4">
        <v>990</v>
      </c>
      <c r="B811" s="4" t="str">
        <f t="shared" si="3"/>
        <v>Kickapoo Springs Foundation_State Policy Network20151500</v>
      </c>
      <c r="C811" s="4" t="str">
        <f ca="1">IFERROR(__xludf.DUMMYFUNCTION("ARRAY_CONSTRAIN(ARRAYFORMULA(SINGLE(TEXTJOIN(""_"",TRUE,D811,G811))), 1, 1)"),"Kickapoo Springs Foundation_2015")</f>
        <v>Kickapoo Springs Foundation_2015</v>
      </c>
      <c r="D811" s="4" t="s">
        <v>108</v>
      </c>
      <c r="E811" s="8" t="s">
        <v>46</v>
      </c>
      <c r="F811" s="6">
        <v>1500</v>
      </c>
      <c r="G811" s="4">
        <v>2015</v>
      </c>
      <c r="H811" s="4" t="s">
        <v>361</v>
      </c>
    </row>
    <row r="812" spans="1:8" ht="15.75" customHeight="1" x14ac:dyDescent="0.2">
      <c r="A812" s="4">
        <v>990</v>
      </c>
      <c r="B812" s="4" t="str">
        <f t="shared" si="3"/>
        <v>Kickapoo Springs Foundation_State Policy Network20141000</v>
      </c>
      <c r="C812" s="4" t="str">
        <f ca="1">IFERROR(__xludf.DUMMYFUNCTION("ARRAY_CONSTRAIN(ARRAYFORMULA(SINGLE(TEXTJOIN(""_"",TRUE,D812,G812))), 1, 1)"),"Kickapoo Springs Foundation_2014")</f>
        <v>Kickapoo Springs Foundation_2014</v>
      </c>
      <c r="D812" s="4" t="s">
        <v>108</v>
      </c>
      <c r="E812" s="8" t="s">
        <v>46</v>
      </c>
      <c r="F812" s="6">
        <v>1000</v>
      </c>
      <c r="G812" s="4">
        <v>2014</v>
      </c>
      <c r="H812" s="4" t="s">
        <v>361</v>
      </c>
    </row>
    <row r="813" spans="1:8" ht="15.75" customHeight="1" x14ac:dyDescent="0.2">
      <c r="A813" s="4">
        <v>990</v>
      </c>
      <c r="B813" s="4" t="str">
        <f t="shared" si="3"/>
        <v>Kickapoo Springs Foundation_State Policy Network20131000</v>
      </c>
      <c r="C813" s="4" t="str">
        <f ca="1">IFERROR(__xludf.DUMMYFUNCTION("ARRAY_CONSTRAIN(ARRAYFORMULA(SINGLE(TEXTJOIN(""_"",TRUE,D813,G813))), 1, 1)"),"Kickapoo Springs Foundation_2013")</f>
        <v>Kickapoo Springs Foundation_2013</v>
      </c>
      <c r="D813" s="4" t="s">
        <v>108</v>
      </c>
      <c r="E813" s="8" t="s">
        <v>46</v>
      </c>
      <c r="F813" s="6">
        <v>1000</v>
      </c>
      <c r="G813" s="4">
        <v>2013</v>
      </c>
      <c r="H813" s="4" t="s">
        <v>361</v>
      </c>
    </row>
    <row r="814" spans="1:8" ht="15.75" customHeight="1" x14ac:dyDescent="0.2">
      <c r="A814" s="4">
        <v>990</v>
      </c>
      <c r="B814" s="4" t="str">
        <f t="shared" si="3"/>
        <v>Kickapoo Springs Foundation_State Policy Network20121000</v>
      </c>
      <c r="C814" s="4" t="str">
        <f ca="1">IFERROR(__xludf.DUMMYFUNCTION("ARRAY_CONSTRAIN(ARRAYFORMULA(SINGLE(TEXTJOIN(""_"",TRUE,D814,G814))), 1, 1)"),"Kickapoo Springs Foundation_2012")</f>
        <v>Kickapoo Springs Foundation_2012</v>
      </c>
      <c r="D814" s="4" t="s">
        <v>108</v>
      </c>
      <c r="E814" s="8" t="s">
        <v>46</v>
      </c>
      <c r="F814" s="6">
        <v>1000</v>
      </c>
      <c r="G814" s="4">
        <v>2012</v>
      </c>
      <c r="H814" s="4" t="s">
        <v>361</v>
      </c>
    </row>
    <row r="815" spans="1:8" ht="15.75" customHeight="1" x14ac:dyDescent="0.2">
      <c r="A815" s="4">
        <v>990</v>
      </c>
      <c r="B815" s="4" t="str">
        <f t="shared" si="3"/>
        <v>Kickapoo Springs Foundation_State Policy Network20111000</v>
      </c>
      <c r="C815" s="4" t="str">
        <f ca="1">IFERROR(__xludf.DUMMYFUNCTION("ARRAY_CONSTRAIN(ARRAYFORMULA(SINGLE(TEXTJOIN(""_"",TRUE,D815,G815))), 1, 1)"),"Kickapoo Springs Foundation_2011")</f>
        <v>Kickapoo Springs Foundation_2011</v>
      </c>
      <c r="D815" s="4" t="s">
        <v>108</v>
      </c>
      <c r="E815" s="8" t="s">
        <v>46</v>
      </c>
      <c r="F815" s="6">
        <v>1000</v>
      </c>
      <c r="G815" s="4">
        <v>2011</v>
      </c>
      <c r="H815" s="4" t="s">
        <v>361</v>
      </c>
    </row>
    <row r="816" spans="1:8" ht="15.75" customHeight="1" x14ac:dyDescent="0.2">
      <c r="A816" s="4">
        <v>990</v>
      </c>
      <c r="B816" s="4" t="str">
        <f t="shared" si="3"/>
        <v>Kickapoo Springs Foundation_State Policy Network20101000</v>
      </c>
      <c r="C816" s="4" t="str">
        <f ca="1">IFERROR(__xludf.DUMMYFUNCTION("ARRAY_CONSTRAIN(ARRAYFORMULA(SINGLE(TEXTJOIN(""_"",TRUE,D816,G816))), 1, 1)"),"Kickapoo Springs Foundation_2010")</f>
        <v>Kickapoo Springs Foundation_2010</v>
      </c>
      <c r="D816" s="4" t="s">
        <v>108</v>
      </c>
      <c r="E816" s="8" t="s">
        <v>46</v>
      </c>
      <c r="F816" s="6">
        <v>1000</v>
      </c>
      <c r="G816" s="4">
        <v>2010</v>
      </c>
      <c r="H816" s="4" t="s">
        <v>361</v>
      </c>
    </row>
    <row r="817" spans="1:8" ht="15.75" customHeight="1" x14ac:dyDescent="0.2">
      <c r="A817" s="5" t="s">
        <v>577</v>
      </c>
      <c r="B817" s="4" t="str">
        <f t="shared" si="3"/>
        <v>Krasberg Mason Foundation_State Policy Network20215000</v>
      </c>
      <c r="C817" s="4" t="str">
        <f ca="1">IFERROR(__xludf.DUMMYFUNCTION("ARRAY_CONSTRAIN(ARRAYFORMULA(SINGLE(TEXTJOIN(""_"",TRUE,D817,G817))), 1, 1)"),"Krasberg Mason Foundation_2021")</f>
        <v>Krasberg Mason Foundation_2021</v>
      </c>
      <c r="D817" s="4" t="s">
        <v>143</v>
      </c>
      <c r="E817" s="8" t="s">
        <v>46</v>
      </c>
      <c r="F817" s="6">
        <v>5000</v>
      </c>
      <c r="G817" s="4">
        <v>2021</v>
      </c>
      <c r="H817" s="4" t="s">
        <v>361</v>
      </c>
    </row>
    <row r="818" spans="1:8" ht="15.75" customHeight="1" x14ac:dyDescent="0.2">
      <c r="A818" s="5" t="s">
        <v>578</v>
      </c>
      <c r="B818" s="4" t="str">
        <f t="shared" si="3"/>
        <v>Krasberg Mason Foundation_State Policy Network20171000</v>
      </c>
      <c r="C818" s="4" t="str">
        <f ca="1">IFERROR(__xludf.DUMMYFUNCTION("ARRAY_CONSTRAIN(ARRAYFORMULA(SINGLE(TEXTJOIN(""_"",TRUE,D818,G818))), 1, 1)"),"Krasberg Mason Foundation_2017")</f>
        <v>Krasberg Mason Foundation_2017</v>
      </c>
      <c r="D818" s="4" t="s">
        <v>143</v>
      </c>
      <c r="E818" s="8" t="s">
        <v>46</v>
      </c>
      <c r="F818" s="6">
        <v>1000</v>
      </c>
      <c r="G818" s="4">
        <v>2017</v>
      </c>
      <c r="H818" s="4" t="s">
        <v>361</v>
      </c>
    </row>
    <row r="819" spans="1:8" ht="15.75" customHeight="1" x14ac:dyDescent="0.2">
      <c r="A819" s="4">
        <v>990</v>
      </c>
      <c r="B819" s="4" t="str">
        <f t="shared" si="3"/>
        <v>Krieble Foundation_State Policy Network20075000</v>
      </c>
      <c r="C819" s="4" t="str">
        <f ca="1">IFERROR(__xludf.DUMMYFUNCTION("ARRAY_CONSTRAIN(ARRAYFORMULA(SINGLE(TEXTJOIN(""_"",TRUE,D819,G819))), 1, 1)"),"Krieble Foundation_2007")</f>
        <v>Krieble Foundation_2007</v>
      </c>
      <c r="D819" s="4" t="s">
        <v>153</v>
      </c>
      <c r="E819" s="8" t="s">
        <v>46</v>
      </c>
      <c r="F819" s="6">
        <v>5000</v>
      </c>
      <c r="G819" s="4">
        <v>2007</v>
      </c>
      <c r="H819" s="4" t="s">
        <v>361</v>
      </c>
    </row>
    <row r="820" spans="1:8" ht="15.75" customHeight="1" x14ac:dyDescent="0.2">
      <c r="A820" s="5" t="s">
        <v>579</v>
      </c>
      <c r="B820" s="4" t="str">
        <f t="shared" si="3"/>
        <v>L &amp; J Goldrich Foundation_State Policy Network2017100</v>
      </c>
      <c r="C820" s="4" t="str">
        <f ca="1">IFERROR(__xludf.DUMMYFUNCTION("ARRAY_CONSTRAIN(ARRAYFORMULA(SINGLE(TEXTJOIN(""_"",TRUE,D820,G820))), 1, 1)"),"L &amp; J Goldrich Foundation_2017")</f>
        <v>L &amp; J Goldrich Foundation_2017</v>
      </c>
      <c r="D820" s="4" t="s">
        <v>218</v>
      </c>
      <c r="E820" s="8" t="s">
        <v>46</v>
      </c>
      <c r="F820" s="6">
        <v>100</v>
      </c>
      <c r="G820" s="4">
        <v>2017</v>
      </c>
      <c r="H820" s="4" t="s">
        <v>361</v>
      </c>
    </row>
    <row r="821" spans="1:8" ht="15.75" customHeight="1" x14ac:dyDescent="0.2">
      <c r="A821" s="5" t="s">
        <v>580</v>
      </c>
      <c r="B821" s="4" t="str">
        <f t="shared" si="3"/>
        <v>L &amp; J Goldrich Foundation_State Policy Network2015100</v>
      </c>
      <c r="C821" s="4" t="str">
        <f ca="1">IFERROR(__xludf.DUMMYFUNCTION("ARRAY_CONSTRAIN(ARRAYFORMULA(SINGLE(TEXTJOIN(""_"",TRUE,D821,G821))), 1, 1)"),"L &amp; J Goldrich Foundation_2015")</f>
        <v>L &amp; J Goldrich Foundation_2015</v>
      </c>
      <c r="D821" s="4" t="s">
        <v>218</v>
      </c>
      <c r="E821" s="8" t="s">
        <v>46</v>
      </c>
      <c r="F821" s="6">
        <v>100</v>
      </c>
      <c r="G821" s="4">
        <v>2015</v>
      </c>
      <c r="H821" s="4" t="s">
        <v>361</v>
      </c>
    </row>
    <row r="822" spans="1:8" ht="15.75" customHeight="1" x14ac:dyDescent="0.2">
      <c r="A822" s="5" t="s">
        <v>581</v>
      </c>
      <c r="B822" s="4" t="str">
        <f t="shared" si="3"/>
        <v>Lauring Charitable Foundation_State Policy Network2012100</v>
      </c>
      <c r="C822" s="4" t="str">
        <f ca="1">IFERROR(__xludf.DUMMYFUNCTION("ARRAY_CONSTRAIN(ARRAYFORMULA(SINGLE(TEXTJOIN(""_"",TRUE,D822,G822))), 1, 1)"),"Lauring Charitable Foundation_2012")</f>
        <v>Lauring Charitable Foundation_2012</v>
      </c>
      <c r="D822" s="4" t="s">
        <v>193</v>
      </c>
      <c r="E822" s="8" t="s">
        <v>46</v>
      </c>
      <c r="F822" s="6">
        <v>100</v>
      </c>
      <c r="G822" s="4">
        <v>2012</v>
      </c>
      <c r="H822" s="4" t="s">
        <v>361</v>
      </c>
    </row>
    <row r="823" spans="1:8" ht="15.75" customHeight="1" x14ac:dyDescent="0.2">
      <c r="A823" s="5" t="s">
        <v>582</v>
      </c>
      <c r="B823" s="4" t="str">
        <f t="shared" si="3"/>
        <v>Lauring Charitable Foundation_State Policy Network2011250</v>
      </c>
      <c r="C823" s="4" t="str">
        <f ca="1">IFERROR(__xludf.DUMMYFUNCTION("ARRAY_CONSTRAIN(ARRAYFORMULA(SINGLE(TEXTJOIN(""_"",TRUE,D823,G823))), 1, 1)"),"Lauring Charitable Foundation_2011")</f>
        <v>Lauring Charitable Foundation_2011</v>
      </c>
      <c r="D823" s="4" t="s">
        <v>193</v>
      </c>
      <c r="E823" s="8" t="s">
        <v>46</v>
      </c>
      <c r="F823" s="6">
        <v>250</v>
      </c>
      <c r="G823" s="4">
        <v>2011</v>
      </c>
      <c r="H823" s="4" t="s">
        <v>361</v>
      </c>
    </row>
    <row r="824" spans="1:8" ht="15.75" customHeight="1" x14ac:dyDescent="0.2">
      <c r="A824" s="5" t="s">
        <v>583</v>
      </c>
      <c r="B824" s="4" t="str">
        <f t="shared" si="3"/>
        <v>Lauring Charitable Foundation_State Policy Network2010250</v>
      </c>
      <c r="C824" s="4" t="str">
        <f ca="1">IFERROR(__xludf.DUMMYFUNCTION("ARRAY_CONSTRAIN(ARRAYFORMULA(SINGLE(TEXTJOIN(""_"",TRUE,D824,G824))), 1, 1)"),"Lauring Charitable Foundation_2010")</f>
        <v>Lauring Charitable Foundation_2010</v>
      </c>
      <c r="D824" s="4" t="s">
        <v>193</v>
      </c>
      <c r="E824" s="8" t="s">
        <v>46</v>
      </c>
      <c r="F824" s="6">
        <v>250</v>
      </c>
      <c r="G824" s="4">
        <v>2010</v>
      </c>
      <c r="H824" s="4" t="s">
        <v>361</v>
      </c>
    </row>
    <row r="825" spans="1:8" ht="15.75" customHeight="1" x14ac:dyDescent="0.2">
      <c r="A825" s="5" t="s">
        <v>584</v>
      </c>
      <c r="B825" s="4" t="str">
        <f t="shared" si="3"/>
        <v>Lawrence and Sandra Post Family Foundation_State Policy Network2016100</v>
      </c>
      <c r="C825" s="4" t="str">
        <f ca="1">IFERROR(__xludf.DUMMYFUNCTION("ARRAY_CONSTRAIN(ARRAYFORMULA(SINGLE(TEXTJOIN(""_"",TRUE,D825,G825))), 1, 1)"),"Lawrence and Sandra Post Family Foundation_2016")</f>
        <v>Lawrence and Sandra Post Family Foundation_2016</v>
      </c>
      <c r="D825" s="4" t="s">
        <v>225</v>
      </c>
      <c r="E825" s="8" t="s">
        <v>46</v>
      </c>
      <c r="F825" s="6">
        <v>100</v>
      </c>
      <c r="G825" s="4">
        <v>2016</v>
      </c>
      <c r="H825" s="4" t="s">
        <v>361</v>
      </c>
    </row>
    <row r="826" spans="1:8" ht="15.75" customHeight="1" x14ac:dyDescent="0.2">
      <c r="A826" s="4">
        <v>990</v>
      </c>
      <c r="B826" s="4" t="str">
        <f t="shared" si="3"/>
        <v>Legett Foundation_State Policy Network20211500</v>
      </c>
      <c r="C826" s="4" t="str">
        <f ca="1">IFERROR(__xludf.DUMMYFUNCTION("ARRAY_CONSTRAIN(ARRAYFORMULA(SINGLE(TEXTJOIN(""_"",TRUE,D826,G826))), 1, 1)"),"Legett Foundation_2021")</f>
        <v>Legett Foundation_2021</v>
      </c>
      <c r="D826" s="4" t="s">
        <v>107</v>
      </c>
      <c r="E826" s="8" t="s">
        <v>46</v>
      </c>
      <c r="F826" s="6">
        <v>1500</v>
      </c>
      <c r="G826" s="4">
        <v>2021</v>
      </c>
      <c r="H826" s="4" t="s">
        <v>361</v>
      </c>
    </row>
    <row r="827" spans="1:8" ht="15.75" customHeight="1" x14ac:dyDescent="0.2">
      <c r="A827" s="4">
        <v>990</v>
      </c>
      <c r="B827" s="4" t="str">
        <f t="shared" si="3"/>
        <v>Legett Foundation_State Policy Network20201500</v>
      </c>
      <c r="C827" s="4" t="str">
        <f ca="1">IFERROR(__xludf.DUMMYFUNCTION("ARRAY_CONSTRAIN(ARRAYFORMULA(SINGLE(TEXTJOIN(""_"",TRUE,D827,G827))), 1, 1)"),"Legett Foundation_2020")</f>
        <v>Legett Foundation_2020</v>
      </c>
      <c r="D827" s="4" t="s">
        <v>107</v>
      </c>
      <c r="E827" s="8" t="s">
        <v>46</v>
      </c>
      <c r="F827" s="6">
        <v>1500</v>
      </c>
      <c r="G827" s="4">
        <v>2020</v>
      </c>
      <c r="H827" s="4" t="s">
        <v>361</v>
      </c>
    </row>
    <row r="828" spans="1:8" ht="15.75" customHeight="1" x14ac:dyDescent="0.2">
      <c r="A828" s="4">
        <v>990</v>
      </c>
      <c r="B828" s="4" t="str">
        <f t="shared" si="3"/>
        <v>Legett Foundation_State Policy Network20191500</v>
      </c>
      <c r="C828" s="4" t="str">
        <f ca="1">IFERROR(__xludf.DUMMYFUNCTION("ARRAY_CONSTRAIN(ARRAYFORMULA(SINGLE(TEXTJOIN(""_"",TRUE,D828,G828))), 1, 1)"),"Legett Foundation_2019")</f>
        <v>Legett Foundation_2019</v>
      </c>
      <c r="D828" s="4" t="s">
        <v>107</v>
      </c>
      <c r="E828" s="8" t="s">
        <v>46</v>
      </c>
      <c r="F828" s="6">
        <v>1500</v>
      </c>
      <c r="G828" s="4">
        <v>2019</v>
      </c>
      <c r="H828" s="4" t="s">
        <v>361</v>
      </c>
    </row>
    <row r="829" spans="1:8" ht="15.75" customHeight="1" x14ac:dyDescent="0.2">
      <c r="A829" s="4">
        <v>990</v>
      </c>
      <c r="B829" s="4" t="str">
        <f t="shared" si="3"/>
        <v>Legett Foundation_State Policy Network20181500</v>
      </c>
      <c r="C829" s="4" t="str">
        <f ca="1">IFERROR(__xludf.DUMMYFUNCTION("ARRAY_CONSTRAIN(ARRAYFORMULA(SINGLE(TEXTJOIN(""_"",TRUE,D829,G829))), 1, 1)"),"Legett Foundation_2018")</f>
        <v>Legett Foundation_2018</v>
      </c>
      <c r="D829" s="4" t="s">
        <v>107</v>
      </c>
      <c r="E829" s="8" t="s">
        <v>46</v>
      </c>
      <c r="F829" s="6">
        <v>1500</v>
      </c>
      <c r="G829" s="4">
        <v>2018</v>
      </c>
      <c r="H829" s="4" t="s">
        <v>361</v>
      </c>
    </row>
    <row r="830" spans="1:8" ht="15.75" customHeight="1" x14ac:dyDescent="0.2">
      <c r="A830" s="4">
        <v>990</v>
      </c>
      <c r="B830" s="4" t="str">
        <f t="shared" si="3"/>
        <v>Legett Foundation_State Policy Network20171500</v>
      </c>
      <c r="C830" s="4" t="str">
        <f ca="1">IFERROR(__xludf.DUMMYFUNCTION("ARRAY_CONSTRAIN(ARRAYFORMULA(SINGLE(TEXTJOIN(""_"",TRUE,D830,G830))), 1, 1)"),"Legett Foundation_2017")</f>
        <v>Legett Foundation_2017</v>
      </c>
      <c r="D830" s="4" t="s">
        <v>107</v>
      </c>
      <c r="E830" s="8" t="s">
        <v>46</v>
      </c>
      <c r="F830" s="6">
        <v>1500</v>
      </c>
      <c r="G830" s="4">
        <v>2017</v>
      </c>
      <c r="H830" s="4" t="s">
        <v>361</v>
      </c>
    </row>
    <row r="831" spans="1:8" ht="15.75" customHeight="1" x14ac:dyDescent="0.2">
      <c r="A831" s="4">
        <v>990</v>
      </c>
      <c r="B831" s="4" t="str">
        <f t="shared" si="3"/>
        <v>Legett Foundation_State Policy Network20161500</v>
      </c>
      <c r="C831" s="4" t="str">
        <f ca="1">IFERROR(__xludf.DUMMYFUNCTION("ARRAY_CONSTRAIN(ARRAYFORMULA(SINGLE(TEXTJOIN(""_"",TRUE,D831,G831))), 1, 1)"),"Legett Foundation_2016")</f>
        <v>Legett Foundation_2016</v>
      </c>
      <c r="D831" s="4" t="s">
        <v>107</v>
      </c>
      <c r="E831" s="8" t="s">
        <v>46</v>
      </c>
      <c r="F831" s="6">
        <v>1500</v>
      </c>
      <c r="G831" s="4">
        <v>2016</v>
      </c>
      <c r="H831" s="4" t="s">
        <v>361</v>
      </c>
    </row>
    <row r="832" spans="1:8" ht="15.75" customHeight="1" x14ac:dyDescent="0.2">
      <c r="A832" s="4">
        <v>990</v>
      </c>
      <c r="B832" s="4" t="str">
        <f t="shared" si="3"/>
        <v>Legett Foundation_State Policy Network20151500</v>
      </c>
      <c r="C832" s="4" t="str">
        <f ca="1">IFERROR(__xludf.DUMMYFUNCTION("ARRAY_CONSTRAIN(ARRAYFORMULA(SINGLE(TEXTJOIN(""_"",TRUE,D832,G832))), 1, 1)"),"Legett Foundation_2015")</f>
        <v>Legett Foundation_2015</v>
      </c>
      <c r="D832" s="4" t="s">
        <v>107</v>
      </c>
      <c r="E832" s="8" t="s">
        <v>46</v>
      </c>
      <c r="F832" s="6">
        <v>1500</v>
      </c>
      <c r="G832" s="4">
        <v>2015</v>
      </c>
      <c r="H832" s="4" t="s">
        <v>361</v>
      </c>
    </row>
    <row r="833" spans="1:8" ht="15.75" customHeight="1" x14ac:dyDescent="0.2">
      <c r="A833" s="4">
        <v>990</v>
      </c>
      <c r="B833" s="4" t="str">
        <f t="shared" si="3"/>
        <v>Legett Foundation_State Policy Network20141000</v>
      </c>
      <c r="C833" s="4" t="str">
        <f ca="1">IFERROR(__xludf.DUMMYFUNCTION("ARRAY_CONSTRAIN(ARRAYFORMULA(SINGLE(TEXTJOIN(""_"",TRUE,D833,G833))), 1, 1)"),"Legett Foundation_2014")</f>
        <v>Legett Foundation_2014</v>
      </c>
      <c r="D833" s="4" t="s">
        <v>107</v>
      </c>
      <c r="E833" s="8" t="s">
        <v>46</v>
      </c>
      <c r="F833" s="6">
        <v>1000</v>
      </c>
      <c r="G833" s="4">
        <v>2014</v>
      </c>
      <c r="H833" s="4" t="s">
        <v>361</v>
      </c>
    </row>
    <row r="834" spans="1:8" ht="15.75" customHeight="1" x14ac:dyDescent="0.2">
      <c r="A834" s="4">
        <v>990</v>
      </c>
      <c r="B834" s="4" t="str">
        <f t="shared" si="3"/>
        <v>Legett Foundation_State Policy Network20131000</v>
      </c>
      <c r="C834" s="4" t="str">
        <f ca="1">IFERROR(__xludf.DUMMYFUNCTION("ARRAY_CONSTRAIN(ARRAYFORMULA(SINGLE(TEXTJOIN(""_"",TRUE,D834,G834))), 1, 1)"),"Legett Foundation_2013")</f>
        <v>Legett Foundation_2013</v>
      </c>
      <c r="D834" s="4" t="s">
        <v>107</v>
      </c>
      <c r="E834" s="8" t="s">
        <v>46</v>
      </c>
      <c r="F834" s="6">
        <v>1000</v>
      </c>
      <c r="G834" s="4">
        <v>2013</v>
      </c>
      <c r="H834" s="4" t="s">
        <v>361</v>
      </c>
    </row>
    <row r="835" spans="1:8" ht="15.75" customHeight="1" x14ac:dyDescent="0.2">
      <c r="A835" s="4">
        <v>990</v>
      </c>
      <c r="B835" s="4" t="str">
        <f t="shared" si="3"/>
        <v>Legett Foundation_State Policy Network20121000</v>
      </c>
      <c r="C835" s="4" t="str">
        <f ca="1">IFERROR(__xludf.DUMMYFUNCTION("ARRAY_CONSTRAIN(ARRAYFORMULA(SINGLE(TEXTJOIN(""_"",TRUE,D835,G835))), 1, 1)"),"Legett Foundation_2012")</f>
        <v>Legett Foundation_2012</v>
      </c>
      <c r="D835" s="4" t="s">
        <v>107</v>
      </c>
      <c r="E835" s="8" t="s">
        <v>46</v>
      </c>
      <c r="F835" s="6">
        <v>1000</v>
      </c>
      <c r="G835" s="4">
        <v>2012</v>
      </c>
      <c r="H835" s="4" t="s">
        <v>361</v>
      </c>
    </row>
    <row r="836" spans="1:8" ht="15.75" customHeight="1" x14ac:dyDescent="0.2">
      <c r="A836" s="4">
        <v>990</v>
      </c>
      <c r="B836" s="4" t="str">
        <f t="shared" si="3"/>
        <v>Legett Foundation_State Policy Network20111000</v>
      </c>
      <c r="C836" s="4" t="str">
        <f ca="1">IFERROR(__xludf.DUMMYFUNCTION("ARRAY_CONSTRAIN(ARRAYFORMULA(SINGLE(TEXTJOIN(""_"",TRUE,D836,G836))), 1, 1)"),"Legett Foundation_2011")</f>
        <v>Legett Foundation_2011</v>
      </c>
      <c r="D836" s="4" t="s">
        <v>107</v>
      </c>
      <c r="E836" s="8" t="s">
        <v>46</v>
      </c>
      <c r="F836" s="6">
        <v>1000</v>
      </c>
      <c r="G836" s="4">
        <v>2011</v>
      </c>
      <c r="H836" s="4" t="s">
        <v>361</v>
      </c>
    </row>
    <row r="837" spans="1:8" ht="15.75" customHeight="1" x14ac:dyDescent="0.2">
      <c r="A837" s="4">
        <v>990</v>
      </c>
      <c r="B837" s="4" t="str">
        <f t="shared" si="3"/>
        <v>Legett Foundation_State Policy Network20101000</v>
      </c>
      <c r="C837" s="4" t="str">
        <f ca="1">IFERROR(__xludf.DUMMYFUNCTION("ARRAY_CONSTRAIN(ARRAYFORMULA(SINGLE(TEXTJOIN(""_"",TRUE,D837,G837))), 1, 1)"),"Legett Foundation_2010")</f>
        <v>Legett Foundation_2010</v>
      </c>
      <c r="D837" s="4" t="s">
        <v>107</v>
      </c>
      <c r="E837" s="8" t="s">
        <v>46</v>
      </c>
      <c r="F837" s="6">
        <v>1000</v>
      </c>
      <c r="G837" s="4">
        <v>2010</v>
      </c>
      <c r="H837" s="4" t="s">
        <v>361</v>
      </c>
    </row>
    <row r="838" spans="1:8" ht="15.75" customHeight="1" x14ac:dyDescent="0.2">
      <c r="A838" s="5" t="s">
        <v>585</v>
      </c>
      <c r="B838" s="4" t="str">
        <f t="shared" si="3"/>
        <v>Leonard and Joan Horvitz Foundation_State Policy Network20222500</v>
      </c>
      <c r="C838" s="4" t="str">
        <f ca="1">IFERROR(__xludf.DUMMYFUNCTION("ARRAY_CONSTRAIN(ARRAYFORMULA(SINGLE(TEXTJOIN(""_"",TRUE,D838,G838))), 1, 1)"),"Leonard and Joan Horvitz Foundation_2022")</f>
        <v>Leonard and Joan Horvitz Foundation_2022</v>
      </c>
      <c r="D838" s="4" t="s">
        <v>152</v>
      </c>
      <c r="E838" s="8" t="s">
        <v>46</v>
      </c>
      <c r="F838" s="6">
        <v>2500</v>
      </c>
      <c r="G838" s="4">
        <v>2022</v>
      </c>
      <c r="H838" s="4" t="s">
        <v>361</v>
      </c>
    </row>
    <row r="839" spans="1:8" ht="15.75" customHeight="1" x14ac:dyDescent="0.2">
      <c r="A839" s="5" t="s">
        <v>585</v>
      </c>
      <c r="B839" s="4" t="str">
        <f t="shared" si="3"/>
        <v>Leonard and Joan Horvitz Foundation_State Policy Network20222500</v>
      </c>
      <c r="C839" s="4" t="str">
        <f ca="1">IFERROR(__xludf.DUMMYFUNCTION("ARRAY_CONSTRAIN(ARRAYFORMULA(SINGLE(TEXTJOIN(""_"",TRUE,D839,G839))), 1, 1)"),"Leonard and Joan Horvitz Foundation_2022")</f>
        <v>Leonard and Joan Horvitz Foundation_2022</v>
      </c>
      <c r="D839" s="4" t="s">
        <v>152</v>
      </c>
      <c r="E839" s="8" t="s">
        <v>46</v>
      </c>
      <c r="F839" s="6">
        <v>2500</v>
      </c>
      <c r="G839" s="4">
        <v>2022</v>
      </c>
      <c r="H839" s="4" t="s">
        <v>361</v>
      </c>
    </row>
    <row r="840" spans="1:8" ht="15.75" customHeight="1" x14ac:dyDescent="0.2">
      <c r="A840" s="5" t="s">
        <v>586</v>
      </c>
      <c r="B840" s="4" t="str">
        <f t="shared" si="3"/>
        <v>Loren A Jahn Private Charitable_State Policy Network201525000</v>
      </c>
      <c r="C840" s="4" t="str">
        <f ca="1">IFERROR(__xludf.DUMMYFUNCTION("ARRAY_CONSTRAIN(ARRAYFORMULA(SINGLE(TEXTJOIN(""_"",TRUE,D840,G840))), 1, 1)"),"Loren A Jahn Private Charitable_2015")</f>
        <v>Loren A Jahn Private Charitable_2015</v>
      </c>
      <c r="D840" s="4" t="s">
        <v>84</v>
      </c>
      <c r="E840" s="8" t="s">
        <v>46</v>
      </c>
      <c r="F840" s="6">
        <v>25000</v>
      </c>
      <c r="G840" s="4">
        <v>2015</v>
      </c>
      <c r="H840" s="4" t="s">
        <v>361</v>
      </c>
    </row>
    <row r="841" spans="1:8" ht="15.75" customHeight="1" x14ac:dyDescent="0.2">
      <c r="A841" s="5" t="s">
        <v>587</v>
      </c>
      <c r="B841" s="4" t="str">
        <f t="shared" si="3"/>
        <v>Loren A Jahn Private Charitable_State Policy Network20145000</v>
      </c>
      <c r="C841" s="4" t="str">
        <f ca="1">IFERROR(__xludf.DUMMYFUNCTION("ARRAY_CONSTRAIN(ARRAYFORMULA(SINGLE(TEXTJOIN(""_"",TRUE,D841,G841))), 1, 1)"),"Loren A Jahn Private Charitable_2014")</f>
        <v>Loren A Jahn Private Charitable_2014</v>
      </c>
      <c r="D841" s="4" t="s">
        <v>84</v>
      </c>
      <c r="E841" s="8" t="s">
        <v>46</v>
      </c>
      <c r="F841" s="6">
        <v>5000</v>
      </c>
      <c r="G841" s="4">
        <v>2014</v>
      </c>
      <c r="H841" s="4" t="s">
        <v>361</v>
      </c>
    </row>
    <row r="842" spans="1:8" ht="15.75" customHeight="1" x14ac:dyDescent="0.2">
      <c r="A842" s="4">
        <v>990</v>
      </c>
      <c r="B842" s="4" t="str">
        <f t="shared" si="3"/>
        <v>Lovett and Ruth Peters Foundation_State Policy Network202110000</v>
      </c>
      <c r="C842" s="4" t="str">
        <f ca="1">IFERROR(__xludf.DUMMYFUNCTION("ARRAY_CONSTRAIN(ARRAYFORMULA(SINGLE(TEXTJOIN(""_"",TRUE,D842,G842))), 1, 1)"),"Lovett and Ruth Peters Foundation_2021")</f>
        <v>Lovett and Ruth Peters Foundation_2021</v>
      </c>
      <c r="D842" s="4" t="s">
        <v>34</v>
      </c>
      <c r="E842" s="8" t="s">
        <v>46</v>
      </c>
      <c r="F842" s="6">
        <v>10000</v>
      </c>
      <c r="G842" s="4">
        <v>2021</v>
      </c>
      <c r="H842" s="4" t="s">
        <v>361</v>
      </c>
    </row>
    <row r="843" spans="1:8" ht="15.75" customHeight="1" x14ac:dyDescent="0.2">
      <c r="A843" s="4">
        <v>990</v>
      </c>
      <c r="B843" s="4" t="str">
        <f t="shared" si="3"/>
        <v>Lovett and Ruth Peters Foundation_State Policy Network202010000</v>
      </c>
      <c r="C843" s="4" t="str">
        <f ca="1">IFERROR(__xludf.DUMMYFUNCTION("ARRAY_CONSTRAIN(ARRAYFORMULA(SINGLE(TEXTJOIN(""_"",TRUE,D843,G843))), 1, 1)"),"Lovett and Ruth Peters Foundation_2020")</f>
        <v>Lovett and Ruth Peters Foundation_2020</v>
      </c>
      <c r="D843" s="4" t="s">
        <v>34</v>
      </c>
      <c r="E843" s="8" t="s">
        <v>46</v>
      </c>
      <c r="F843" s="6">
        <v>10000</v>
      </c>
      <c r="G843" s="4">
        <v>2020</v>
      </c>
      <c r="H843" s="4" t="s">
        <v>361</v>
      </c>
    </row>
    <row r="844" spans="1:8" ht="15.75" customHeight="1" x14ac:dyDescent="0.2">
      <c r="A844" s="4">
        <v>990</v>
      </c>
      <c r="B844" s="4" t="str">
        <f t="shared" si="3"/>
        <v>Lovett and Ruth Peters Foundation_State Policy Network201910000</v>
      </c>
      <c r="C844" s="4" t="str">
        <f ca="1">IFERROR(__xludf.DUMMYFUNCTION("ARRAY_CONSTRAIN(ARRAYFORMULA(SINGLE(TEXTJOIN(""_"",TRUE,D844,G844))), 1, 1)"),"Lovett and Ruth Peters Foundation_2019")</f>
        <v>Lovett and Ruth Peters Foundation_2019</v>
      </c>
      <c r="D844" s="4" t="s">
        <v>34</v>
      </c>
      <c r="E844" s="8" t="s">
        <v>46</v>
      </c>
      <c r="F844" s="6">
        <v>10000</v>
      </c>
      <c r="G844" s="4">
        <v>2019</v>
      </c>
      <c r="H844" s="4" t="s">
        <v>361</v>
      </c>
    </row>
    <row r="845" spans="1:8" ht="15.75" customHeight="1" x14ac:dyDescent="0.2">
      <c r="A845" s="4">
        <v>990</v>
      </c>
      <c r="B845" s="4" t="str">
        <f t="shared" si="3"/>
        <v>Lovett and Ruth Peters Foundation_State Policy Network201810000</v>
      </c>
      <c r="C845" s="4" t="str">
        <f ca="1">IFERROR(__xludf.DUMMYFUNCTION("ARRAY_CONSTRAIN(ARRAYFORMULA(SINGLE(TEXTJOIN(""_"",TRUE,D845,G845))), 1, 1)"),"Lovett and Ruth Peters Foundation_2018")</f>
        <v>Lovett and Ruth Peters Foundation_2018</v>
      </c>
      <c r="D845" s="4" t="s">
        <v>34</v>
      </c>
      <c r="E845" s="8" t="s">
        <v>46</v>
      </c>
      <c r="F845" s="6">
        <v>10000</v>
      </c>
      <c r="G845" s="4">
        <v>2018</v>
      </c>
      <c r="H845" s="4" t="s">
        <v>361</v>
      </c>
    </row>
    <row r="846" spans="1:8" ht="15.75" customHeight="1" x14ac:dyDescent="0.2">
      <c r="A846" s="4">
        <v>990</v>
      </c>
      <c r="B846" s="4" t="str">
        <f t="shared" si="3"/>
        <v>Lovett and Ruth Peters Foundation_State Policy Network201610000</v>
      </c>
      <c r="C846" s="4" t="str">
        <f ca="1">IFERROR(__xludf.DUMMYFUNCTION("ARRAY_CONSTRAIN(ARRAYFORMULA(SINGLE(TEXTJOIN(""_"",TRUE,D846,G846))), 1, 1)"),"Lovett and Ruth Peters Foundation_2016")</f>
        <v>Lovett and Ruth Peters Foundation_2016</v>
      </c>
      <c r="D846" s="4" t="s">
        <v>34</v>
      </c>
      <c r="E846" s="8" t="s">
        <v>46</v>
      </c>
      <c r="F846" s="6">
        <v>10000</v>
      </c>
      <c r="G846" s="4">
        <v>2016</v>
      </c>
      <c r="H846" s="4" t="s">
        <v>361</v>
      </c>
    </row>
    <row r="847" spans="1:8" ht="15.75" customHeight="1" x14ac:dyDescent="0.2">
      <c r="A847" s="4">
        <v>990</v>
      </c>
      <c r="B847" s="4" t="str">
        <f t="shared" si="3"/>
        <v>Lovett and Ruth Peters Foundation_State Policy Network201510000</v>
      </c>
      <c r="C847" s="4" t="str">
        <f ca="1">IFERROR(__xludf.DUMMYFUNCTION("ARRAY_CONSTRAIN(ARRAYFORMULA(SINGLE(TEXTJOIN(""_"",TRUE,D847,G847))), 1, 1)"),"Lovett and Ruth Peters Foundation_2015")</f>
        <v>Lovett and Ruth Peters Foundation_2015</v>
      </c>
      <c r="D847" s="4" t="s">
        <v>34</v>
      </c>
      <c r="E847" s="8" t="s">
        <v>46</v>
      </c>
      <c r="F847" s="6">
        <v>10000</v>
      </c>
      <c r="G847" s="4">
        <v>2015</v>
      </c>
      <c r="H847" s="4" t="s">
        <v>361</v>
      </c>
    </row>
    <row r="848" spans="1:8" ht="15.75" customHeight="1" x14ac:dyDescent="0.2">
      <c r="A848" s="4">
        <v>990</v>
      </c>
      <c r="B848" s="4" t="str">
        <f t="shared" si="3"/>
        <v>Lovett and Ruth Peters Foundation_State Policy Network201410000</v>
      </c>
      <c r="C848" s="4" t="str">
        <f ca="1">IFERROR(__xludf.DUMMYFUNCTION("ARRAY_CONSTRAIN(ARRAYFORMULA(SINGLE(TEXTJOIN(""_"",TRUE,D848,G848))), 1, 1)"),"Lovett and Ruth Peters Foundation_2014")</f>
        <v>Lovett and Ruth Peters Foundation_2014</v>
      </c>
      <c r="D848" s="4" t="s">
        <v>34</v>
      </c>
      <c r="E848" s="8" t="s">
        <v>46</v>
      </c>
      <c r="F848" s="6">
        <v>10000</v>
      </c>
      <c r="G848" s="4">
        <v>2014</v>
      </c>
      <c r="H848" s="4" t="s">
        <v>361</v>
      </c>
    </row>
    <row r="849" spans="1:8" ht="15.75" customHeight="1" x14ac:dyDescent="0.2">
      <c r="A849" s="4">
        <v>990</v>
      </c>
      <c r="B849" s="4" t="str">
        <f t="shared" si="3"/>
        <v>Lovett and Ruth Peters Foundation_State Policy Network201310000</v>
      </c>
      <c r="C849" s="4" t="str">
        <f ca="1">IFERROR(__xludf.DUMMYFUNCTION("ARRAY_CONSTRAIN(ARRAYFORMULA(SINGLE(TEXTJOIN(""_"",TRUE,D849,G849))), 1, 1)"),"Lovett and Ruth Peters Foundation_2013")</f>
        <v>Lovett and Ruth Peters Foundation_2013</v>
      </c>
      <c r="D849" s="4" t="s">
        <v>34</v>
      </c>
      <c r="E849" s="8" t="s">
        <v>46</v>
      </c>
      <c r="F849" s="6">
        <v>10000</v>
      </c>
      <c r="G849" s="4">
        <v>2013</v>
      </c>
      <c r="H849" s="4" t="s">
        <v>361</v>
      </c>
    </row>
    <row r="850" spans="1:8" ht="15.75" customHeight="1" x14ac:dyDescent="0.2">
      <c r="A850" s="4" t="s">
        <v>368</v>
      </c>
      <c r="B850" s="4" t="str">
        <f t="shared" si="3"/>
        <v>Lovett and Ruth Peters Foundation_State Policy Network201212500</v>
      </c>
      <c r="C850" s="4" t="str">
        <f ca="1">IFERROR(__xludf.DUMMYFUNCTION("ARRAY_CONSTRAIN(ARRAYFORMULA(SINGLE(TEXTJOIN(""_"",TRUE,D850,G850))), 1, 1)"),"Lovett and Ruth Peters Foundation_2012")</f>
        <v>Lovett and Ruth Peters Foundation_2012</v>
      </c>
      <c r="D850" s="4" t="s">
        <v>34</v>
      </c>
      <c r="E850" s="8" t="s">
        <v>46</v>
      </c>
      <c r="F850" s="6">
        <v>12500</v>
      </c>
      <c r="G850" s="4">
        <v>2012</v>
      </c>
    </row>
    <row r="851" spans="1:8" ht="15.75" customHeight="1" x14ac:dyDescent="0.2">
      <c r="A851" s="4" t="s">
        <v>368</v>
      </c>
      <c r="B851" s="4" t="str">
        <f t="shared" si="3"/>
        <v>Lovett and Ruth Peters Foundation_State Policy Network201110000</v>
      </c>
      <c r="C851" s="4" t="str">
        <f ca="1">IFERROR(__xludf.DUMMYFUNCTION("ARRAY_CONSTRAIN(ARRAYFORMULA(SINGLE(TEXTJOIN(""_"",TRUE,D851,G851))), 1, 1)"),"Lovett and Ruth Peters Foundation_2011")</f>
        <v>Lovett and Ruth Peters Foundation_2011</v>
      </c>
      <c r="D851" s="4" t="s">
        <v>34</v>
      </c>
      <c r="E851" s="8" t="s">
        <v>46</v>
      </c>
      <c r="F851" s="6">
        <v>10000</v>
      </c>
      <c r="G851" s="4">
        <v>2011</v>
      </c>
    </row>
    <row r="852" spans="1:8" ht="15.75" customHeight="1" x14ac:dyDescent="0.2">
      <c r="A852" s="4" t="s">
        <v>368</v>
      </c>
      <c r="B852" s="4" t="str">
        <f t="shared" si="3"/>
        <v>Lovett and Ruth Peters Foundation_State Policy Network201035000</v>
      </c>
      <c r="C852" s="4" t="str">
        <f ca="1">IFERROR(__xludf.DUMMYFUNCTION("ARRAY_CONSTRAIN(ARRAYFORMULA(SINGLE(TEXTJOIN(""_"",TRUE,D852,G852))), 1, 1)"),"Lovett and Ruth Peters Foundation_2010")</f>
        <v>Lovett and Ruth Peters Foundation_2010</v>
      </c>
      <c r="D852" s="4" t="s">
        <v>34</v>
      </c>
      <c r="E852" s="8" t="s">
        <v>46</v>
      </c>
      <c r="F852" s="6">
        <v>35000</v>
      </c>
      <c r="G852" s="4">
        <v>2010</v>
      </c>
    </row>
    <row r="853" spans="1:8" ht="15.75" customHeight="1" x14ac:dyDescent="0.2">
      <c r="A853" s="4" t="s">
        <v>368</v>
      </c>
      <c r="B853" s="4" t="str">
        <f t="shared" si="3"/>
        <v>Lovett and Ruth Peters Foundation_State Policy Network200910000</v>
      </c>
      <c r="C853" s="4" t="str">
        <f ca="1">IFERROR(__xludf.DUMMYFUNCTION("ARRAY_CONSTRAIN(ARRAYFORMULA(SINGLE(TEXTJOIN(""_"",TRUE,D853,G853))), 1, 1)"),"Lovett and Ruth Peters Foundation_2009")</f>
        <v>Lovett and Ruth Peters Foundation_2009</v>
      </c>
      <c r="D853" s="4" t="s">
        <v>34</v>
      </c>
      <c r="E853" s="8" t="s">
        <v>46</v>
      </c>
      <c r="F853" s="6">
        <v>10000</v>
      </c>
      <c r="G853" s="4">
        <v>2009</v>
      </c>
    </row>
    <row r="854" spans="1:8" ht="15.75" customHeight="1" x14ac:dyDescent="0.2">
      <c r="A854" s="4" t="s">
        <v>368</v>
      </c>
      <c r="B854" s="4" t="str">
        <f t="shared" si="3"/>
        <v>Lovett and Ruth Peters Foundation_State Policy Network200810000</v>
      </c>
      <c r="C854" s="4" t="str">
        <f ca="1">IFERROR(__xludf.DUMMYFUNCTION("ARRAY_CONSTRAIN(ARRAYFORMULA(SINGLE(TEXTJOIN(""_"",TRUE,D854,G854))), 1, 1)"),"Lovett and Ruth Peters Foundation_2008")</f>
        <v>Lovett and Ruth Peters Foundation_2008</v>
      </c>
      <c r="D854" s="4" t="s">
        <v>34</v>
      </c>
      <c r="E854" s="8" t="s">
        <v>46</v>
      </c>
      <c r="F854" s="6">
        <v>10000</v>
      </c>
      <c r="G854" s="4">
        <v>2008</v>
      </c>
    </row>
    <row r="855" spans="1:8" ht="15.75" customHeight="1" x14ac:dyDescent="0.2">
      <c r="A855" s="4" t="s">
        <v>368</v>
      </c>
      <c r="B855" s="4" t="str">
        <f t="shared" si="3"/>
        <v>Lovett and Ruth Peters Foundation_State Policy Network200710000</v>
      </c>
      <c r="C855" s="4" t="str">
        <f ca="1">IFERROR(__xludf.DUMMYFUNCTION("ARRAY_CONSTRAIN(ARRAYFORMULA(SINGLE(TEXTJOIN(""_"",TRUE,D855,G855))), 1, 1)"),"Lovett and Ruth Peters Foundation_2007")</f>
        <v>Lovett and Ruth Peters Foundation_2007</v>
      </c>
      <c r="D855" s="4" t="s">
        <v>34</v>
      </c>
      <c r="E855" s="8" t="s">
        <v>46</v>
      </c>
      <c r="F855" s="6">
        <v>10000</v>
      </c>
      <c r="G855" s="4">
        <v>2007</v>
      </c>
    </row>
    <row r="856" spans="1:8" ht="15.75" customHeight="1" x14ac:dyDescent="0.2">
      <c r="A856" s="4" t="s">
        <v>368</v>
      </c>
      <c r="B856" s="4" t="str">
        <f t="shared" si="3"/>
        <v>Lovett and Ruth Peters Foundation_State Policy Network200615000</v>
      </c>
      <c r="C856" s="4" t="str">
        <f ca="1">IFERROR(__xludf.DUMMYFUNCTION("ARRAY_CONSTRAIN(ARRAYFORMULA(SINGLE(TEXTJOIN(""_"",TRUE,D856,G856))), 1, 1)"),"Lovett and Ruth Peters Foundation_2006")</f>
        <v>Lovett and Ruth Peters Foundation_2006</v>
      </c>
      <c r="D856" s="4" t="s">
        <v>34</v>
      </c>
      <c r="E856" s="8" t="s">
        <v>46</v>
      </c>
      <c r="F856" s="6">
        <v>15000</v>
      </c>
      <c r="G856" s="4">
        <v>2006</v>
      </c>
    </row>
    <row r="857" spans="1:8" ht="15.75" customHeight="1" x14ac:dyDescent="0.2">
      <c r="A857" s="4" t="s">
        <v>368</v>
      </c>
      <c r="B857" s="4" t="str">
        <f t="shared" si="3"/>
        <v>Lovett and Ruth Peters Foundation_State Policy Network200225000</v>
      </c>
      <c r="C857" s="4" t="str">
        <f ca="1">IFERROR(__xludf.DUMMYFUNCTION("ARRAY_CONSTRAIN(ARRAYFORMULA(SINGLE(TEXTJOIN(""_"",TRUE,D857,G857))), 1, 1)"),"Lovett and Ruth Peters Foundation_2002")</f>
        <v>Lovett and Ruth Peters Foundation_2002</v>
      </c>
      <c r="D857" s="4" t="s">
        <v>34</v>
      </c>
      <c r="E857" s="8" t="s">
        <v>46</v>
      </c>
      <c r="F857" s="6">
        <v>25000</v>
      </c>
      <c r="G857" s="4">
        <v>2002</v>
      </c>
    </row>
    <row r="858" spans="1:8" ht="15.75" customHeight="1" x14ac:dyDescent="0.2">
      <c r="A858" s="4" t="s">
        <v>368</v>
      </c>
      <c r="B858" s="4" t="str">
        <f t="shared" si="3"/>
        <v>Lovett and Ruth Peters Foundation_State Policy Network200125000</v>
      </c>
      <c r="C858" s="4" t="str">
        <f ca="1">IFERROR(__xludf.DUMMYFUNCTION("ARRAY_CONSTRAIN(ARRAYFORMULA(SINGLE(TEXTJOIN(""_"",TRUE,D858,G858))), 1, 1)"),"Lovett and Ruth Peters Foundation_2001")</f>
        <v>Lovett and Ruth Peters Foundation_2001</v>
      </c>
      <c r="D858" s="4" t="s">
        <v>34</v>
      </c>
      <c r="E858" s="8" t="s">
        <v>46</v>
      </c>
      <c r="F858" s="6">
        <v>25000</v>
      </c>
      <c r="G858" s="4">
        <v>2001</v>
      </c>
    </row>
    <row r="859" spans="1:8" ht="15.75" customHeight="1" x14ac:dyDescent="0.2">
      <c r="A859" s="4">
        <v>990</v>
      </c>
      <c r="B859" s="4" t="str">
        <f t="shared" si="3"/>
        <v>Lovett and Ruth Peters Foundation_State Policy Network200070000</v>
      </c>
      <c r="C859" s="4" t="str">
        <f ca="1">IFERROR(__xludf.DUMMYFUNCTION("ARRAY_CONSTRAIN(ARRAYFORMULA(SINGLE(TEXTJOIN(""_"",TRUE,D859,G859))), 1, 1)"),"Lovett and Ruth Peters Foundation_2000")</f>
        <v>Lovett and Ruth Peters Foundation_2000</v>
      </c>
      <c r="D859" s="4" t="s">
        <v>34</v>
      </c>
      <c r="E859" s="8" t="s">
        <v>46</v>
      </c>
      <c r="F859" s="6">
        <v>70000</v>
      </c>
      <c r="G859" s="4">
        <v>2000</v>
      </c>
      <c r="H859" s="4" t="s">
        <v>361</v>
      </c>
    </row>
    <row r="860" spans="1:8" ht="15.75" customHeight="1" x14ac:dyDescent="0.2">
      <c r="A860" s="4">
        <v>990</v>
      </c>
      <c r="B860" s="4" t="str">
        <f t="shared" si="3"/>
        <v>Lowndes Foundation_State Policy Network201820000</v>
      </c>
      <c r="C860" s="4" t="str">
        <f ca="1">IFERROR(__xludf.DUMMYFUNCTION("ARRAY_CONSTRAIN(ARRAYFORMULA(SINGLE(TEXTJOIN(""_"",TRUE,D860,G860))), 1, 1)"),"Lowndes Foundation_2018")</f>
        <v>Lowndes Foundation_2018</v>
      </c>
      <c r="D860" s="4" t="s">
        <v>42</v>
      </c>
      <c r="E860" s="8" t="s">
        <v>46</v>
      </c>
      <c r="F860" s="6">
        <v>20000</v>
      </c>
      <c r="G860" s="4">
        <v>2018</v>
      </c>
      <c r="H860" s="4" t="s">
        <v>361</v>
      </c>
    </row>
    <row r="861" spans="1:8" ht="15.75" customHeight="1" x14ac:dyDescent="0.2">
      <c r="A861" s="4">
        <v>990</v>
      </c>
      <c r="B861" s="4" t="str">
        <f t="shared" si="3"/>
        <v>Lowndes Foundation_State Policy Network201620000</v>
      </c>
      <c r="C861" s="4" t="str">
        <f ca="1">IFERROR(__xludf.DUMMYFUNCTION("ARRAY_CONSTRAIN(ARRAYFORMULA(SINGLE(TEXTJOIN(""_"",TRUE,D861,G861))), 1, 1)"),"Lowndes Foundation_2016")</f>
        <v>Lowndes Foundation_2016</v>
      </c>
      <c r="D861" s="4" t="s">
        <v>42</v>
      </c>
      <c r="E861" s="8" t="s">
        <v>46</v>
      </c>
      <c r="F861" s="6">
        <v>20000</v>
      </c>
      <c r="G861" s="4">
        <v>2016</v>
      </c>
      <c r="H861" s="4" t="s">
        <v>361</v>
      </c>
    </row>
    <row r="862" spans="1:8" ht="15.75" customHeight="1" x14ac:dyDescent="0.2">
      <c r="A862" s="4">
        <v>990</v>
      </c>
      <c r="B862" s="4" t="str">
        <f t="shared" si="3"/>
        <v>Lowndes Foundation_State Policy Network201520000</v>
      </c>
      <c r="C862" s="4" t="str">
        <f ca="1">IFERROR(__xludf.DUMMYFUNCTION("ARRAY_CONSTRAIN(ARRAYFORMULA(SINGLE(TEXTJOIN(""_"",TRUE,D862,G862))), 1, 1)"),"Lowndes Foundation_2015")</f>
        <v>Lowndes Foundation_2015</v>
      </c>
      <c r="D862" s="4" t="s">
        <v>42</v>
      </c>
      <c r="E862" s="8" t="s">
        <v>46</v>
      </c>
      <c r="F862" s="6">
        <v>20000</v>
      </c>
      <c r="G862" s="4">
        <v>2015</v>
      </c>
      <c r="H862" s="4" t="s">
        <v>361</v>
      </c>
    </row>
    <row r="863" spans="1:8" ht="15.75" customHeight="1" x14ac:dyDescent="0.2">
      <c r="A863" s="4">
        <v>990</v>
      </c>
      <c r="B863" s="4" t="str">
        <f t="shared" si="3"/>
        <v>Lowndes Foundation_State Policy Network201420000</v>
      </c>
      <c r="C863" s="4" t="str">
        <f ca="1">IFERROR(__xludf.DUMMYFUNCTION("ARRAY_CONSTRAIN(ARRAYFORMULA(SINGLE(TEXTJOIN(""_"",TRUE,D863,G863))), 1, 1)"),"Lowndes Foundation_2014")</f>
        <v>Lowndes Foundation_2014</v>
      </c>
      <c r="D863" s="4" t="s">
        <v>42</v>
      </c>
      <c r="E863" s="8" t="s">
        <v>46</v>
      </c>
      <c r="F863" s="6">
        <v>20000</v>
      </c>
      <c r="G863" s="4">
        <v>2014</v>
      </c>
      <c r="H863" s="4" t="s">
        <v>361</v>
      </c>
    </row>
    <row r="864" spans="1:8" ht="15.75" customHeight="1" x14ac:dyDescent="0.2">
      <c r="A864" s="4">
        <v>990</v>
      </c>
      <c r="B864" s="4" t="str">
        <f t="shared" si="3"/>
        <v>Lowndes Foundation_State Policy Network201320000</v>
      </c>
      <c r="C864" s="4" t="str">
        <f ca="1">IFERROR(__xludf.DUMMYFUNCTION("ARRAY_CONSTRAIN(ARRAYFORMULA(SINGLE(TEXTJOIN(""_"",TRUE,D864,G864))), 1, 1)"),"Lowndes Foundation_2013")</f>
        <v>Lowndes Foundation_2013</v>
      </c>
      <c r="D864" s="4" t="s">
        <v>42</v>
      </c>
      <c r="E864" s="8" t="s">
        <v>46</v>
      </c>
      <c r="F864" s="6">
        <v>20000</v>
      </c>
      <c r="G864" s="4">
        <v>2013</v>
      </c>
      <c r="H864" s="4" t="s">
        <v>361</v>
      </c>
    </row>
    <row r="865" spans="1:8" ht="15.75" customHeight="1" x14ac:dyDescent="0.2">
      <c r="A865" s="4" t="s">
        <v>368</v>
      </c>
      <c r="B865" s="4" t="str">
        <f t="shared" si="3"/>
        <v>Lowndes Foundation_State Policy Network201220000</v>
      </c>
      <c r="C865" s="4" t="str">
        <f ca="1">IFERROR(__xludf.DUMMYFUNCTION("ARRAY_CONSTRAIN(ARRAYFORMULA(SINGLE(TEXTJOIN(""_"",TRUE,D865,G865))), 1, 1)"),"Lowndes Foundation_2012")</f>
        <v>Lowndes Foundation_2012</v>
      </c>
      <c r="D865" s="4" t="s">
        <v>42</v>
      </c>
      <c r="E865" s="8" t="s">
        <v>46</v>
      </c>
      <c r="F865" s="6">
        <v>20000</v>
      </c>
      <c r="G865" s="4">
        <v>2012</v>
      </c>
      <c r="H865" s="4" t="s">
        <v>359</v>
      </c>
    </row>
    <row r="866" spans="1:8" ht="15.75" customHeight="1" x14ac:dyDescent="0.2">
      <c r="A866" s="4" t="s">
        <v>368</v>
      </c>
      <c r="B866" s="4" t="str">
        <f t="shared" si="3"/>
        <v>Lowndes Foundation_State Policy Network201120000</v>
      </c>
      <c r="C866" s="4" t="str">
        <f ca="1">IFERROR(__xludf.DUMMYFUNCTION("ARRAY_CONSTRAIN(ARRAYFORMULA(SINGLE(TEXTJOIN(""_"",TRUE,D866,G866))), 1, 1)"),"Lowndes Foundation_2011")</f>
        <v>Lowndes Foundation_2011</v>
      </c>
      <c r="D866" s="4" t="s">
        <v>42</v>
      </c>
      <c r="E866" s="8" t="s">
        <v>46</v>
      </c>
      <c r="F866" s="6">
        <v>20000</v>
      </c>
      <c r="G866" s="4">
        <v>2011</v>
      </c>
      <c r="H866" s="4" t="s">
        <v>359</v>
      </c>
    </row>
    <row r="867" spans="1:8" ht="15.75" customHeight="1" x14ac:dyDescent="0.2">
      <c r="A867" s="4" t="s">
        <v>368</v>
      </c>
      <c r="B867" s="4" t="str">
        <f t="shared" si="3"/>
        <v>Lowndes Foundation_State Policy Network201015000</v>
      </c>
      <c r="C867" s="4" t="str">
        <f ca="1">IFERROR(__xludf.DUMMYFUNCTION("ARRAY_CONSTRAIN(ARRAYFORMULA(SINGLE(TEXTJOIN(""_"",TRUE,D867,G867))), 1, 1)"),"Lowndes Foundation_2010")</f>
        <v>Lowndes Foundation_2010</v>
      </c>
      <c r="D867" s="4" t="s">
        <v>42</v>
      </c>
      <c r="E867" s="8" t="s">
        <v>46</v>
      </c>
      <c r="F867" s="6">
        <v>15000</v>
      </c>
      <c r="G867" s="4">
        <v>2010</v>
      </c>
      <c r="H867" s="4" t="s">
        <v>359</v>
      </c>
    </row>
    <row r="868" spans="1:8" ht="15.75" customHeight="1" x14ac:dyDescent="0.2">
      <c r="A868" s="4" t="s">
        <v>368</v>
      </c>
      <c r="B868" s="4" t="str">
        <f t="shared" si="3"/>
        <v>Lowndes Foundation_State Policy Network200915000</v>
      </c>
      <c r="C868" s="4" t="str">
        <f ca="1">IFERROR(__xludf.DUMMYFUNCTION("ARRAY_CONSTRAIN(ARRAYFORMULA(SINGLE(TEXTJOIN(""_"",TRUE,D868,G868))), 1, 1)"),"Lowndes Foundation_2009")</f>
        <v>Lowndes Foundation_2009</v>
      </c>
      <c r="D868" s="4" t="s">
        <v>42</v>
      </c>
      <c r="E868" s="8" t="s">
        <v>46</v>
      </c>
      <c r="F868" s="6">
        <v>15000</v>
      </c>
      <c r="G868" s="4">
        <v>2009</v>
      </c>
      <c r="H868" s="4" t="s">
        <v>359</v>
      </c>
    </row>
    <row r="869" spans="1:8" ht="15.75" customHeight="1" x14ac:dyDescent="0.2">
      <c r="A869" s="4" t="s">
        <v>368</v>
      </c>
      <c r="B869" s="4" t="str">
        <f t="shared" si="3"/>
        <v>Lowndes Foundation_State Policy Network20085000</v>
      </c>
      <c r="C869" s="4" t="str">
        <f ca="1">IFERROR(__xludf.DUMMYFUNCTION("ARRAY_CONSTRAIN(ARRAYFORMULA(SINGLE(TEXTJOIN(""_"",TRUE,D869,G869))), 1, 1)"),"Lowndes Foundation_2008")</f>
        <v>Lowndes Foundation_2008</v>
      </c>
      <c r="D869" s="4" t="s">
        <v>42</v>
      </c>
      <c r="E869" s="8" t="s">
        <v>46</v>
      </c>
      <c r="F869" s="6">
        <v>5000</v>
      </c>
      <c r="G869" s="4">
        <v>2008</v>
      </c>
      <c r="H869" s="4" t="s">
        <v>359</v>
      </c>
    </row>
    <row r="870" spans="1:8" ht="15.75" customHeight="1" x14ac:dyDescent="0.2">
      <c r="A870" s="5" t="s">
        <v>588</v>
      </c>
      <c r="B870" s="4" t="str">
        <f t="shared" si="3"/>
        <v>Lozick Family Foundation_State Policy Network202110000</v>
      </c>
      <c r="C870" s="4" t="str">
        <f ca="1">IFERROR(__xludf.DUMMYFUNCTION("ARRAY_CONSTRAIN(ARRAYFORMULA(SINGLE(TEXTJOIN(""_"",TRUE,D870,G870))), 1, 1)"),"Lozick Family Foundation_2021")</f>
        <v>Lozick Family Foundation_2021</v>
      </c>
      <c r="D870" s="4" t="s">
        <v>127</v>
      </c>
      <c r="E870" s="8" t="s">
        <v>46</v>
      </c>
      <c r="F870" s="6">
        <v>10000</v>
      </c>
      <c r="G870" s="4">
        <v>2021</v>
      </c>
      <c r="H870" s="4" t="s">
        <v>361</v>
      </c>
    </row>
    <row r="871" spans="1:8" ht="15.75" customHeight="1" x14ac:dyDescent="0.2">
      <c r="A871" s="4">
        <v>990</v>
      </c>
      <c r="B871" s="4" t="str">
        <f t="shared" si="3"/>
        <v>Lynde and Harry Bradley Foundation_State Policy Network2021175000</v>
      </c>
      <c r="C871" s="4" t="str">
        <f ca="1">IFERROR(__xludf.DUMMYFUNCTION("ARRAY_CONSTRAIN(ARRAYFORMULA(SINGLE(TEXTJOIN(""_"",TRUE,D871,G871))), 1, 1)"),"Lynde and Harry Bradley Foundation_2021")</f>
        <v>Lynde and Harry Bradley Foundation_2021</v>
      </c>
      <c r="D871" s="4" t="s">
        <v>15</v>
      </c>
      <c r="E871" s="8" t="s">
        <v>46</v>
      </c>
      <c r="F871" s="6">
        <v>175000</v>
      </c>
      <c r="G871" s="4">
        <v>2021</v>
      </c>
      <c r="H871" s="4" t="s">
        <v>361</v>
      </c>
    </row>
    <row r="872" spans="1:8" ht="15.75" customHeight="1" x14ac:dyDescent="0.2">
      <c r="A872" s="4">
        <v>990</v>
      </c>
      <c r="B872" s="4" t="str">
        <f t="shared" si="3"/>
        <v>Lynde and Harry Bradley Foundation_State Policy Network2020150000</v>
      </c>
      <c r="C872" s="4" t="str">
        <f ca="1">IFERROR(__xludf.DUMMYFUNCTION("ARRAY_CONSTRAIN(ARRAYFORMULA(SINGLE(TEXTJOIN(""_"",TRUE,D872,G872))), 1, 1)"),"Lynde and Harry Bradley Foundation_2020")</f>
        <v>Lynde and Harry Bradley Foundation_2020</v>
      </c>
      <c r="D872" s="4" t="s">
        <v>15</v>
      </c>
      <c r="E872" s="8" t="s">
        <v>46</v>
      </c>
      <c r="F872" s="6">
        <v>150000</v>
      </c>
      <c r="G872" s="4">
        <v>2020</v>
      </c>
      <c r="H872" s="4" t="s">
        <v>361</v>
      </c>
    </row>
    <row r="873" spans="1:8" ht="15.75" customHeight="1" x14ac:dyDescent="0.2">
      <c r="A873" s="4">
        <v>990</v>
      </c>
      <c r="B873" s="4" t="str">
        <f t="shared" si="3"/>
        <v>Lynde and Harry Bradley Foundation_State Policy Network2019150000</v>
      </c>
      <c r="C873" s="4" t="str">
        <f ca="1">IFERROR(__xludf.DUMMYFUNCTION("ARRAY_CONSTRAIN(ARRAYFORMULA(SINGLE(TEXTJOIN(""_"",TRUE,D873,G873))), 1, 1)"),"Lynde and Harry Bradley Foundation_2019")</f>
        <v>Lynde and Harry Bradley Foundation_2019</v>
      </c>
      <c r="D873" s="4" t="s">
        <v>15</v>
      </c>
      <c r="E873" s="8" t="s">
        <v>46</v>
      </c>
      <c r="F873" s="6">
        <v>150000</v>
      </c>
      <c r="G873" s="4">
        <v>2019</v>
      </c>
      <c r="H873" s="4" t="s">
        <v>361</v>
      </c>
    </row>
    <row r="874" spans="1:8" ht="15.75" customHeight="1" x14ac:dyDescent="0.2">
      <c r="A874" s="4">
        <v>990</v>
      </c>
      <c r="B874" s="4" t="str">
        <f t="shared" si="3"/>
        <v>Lynde and Harry Bradley Foundation_State Policy Network2019450000</v>
      </c>
      <c r="C874" s="4" t="str">
        <f ca="1">IFERROR(__xludf.DUMMYFUNCTION("ARRAY_CONSTRAIN(ARRAYFORMULA(SINGLE(TEXTJOIN(""_"",TRUE,D874,G874))), 1, 1)"),"Lynde and Harry Bradley Foundation_2019")</f>
        <v>Lynde and Harry Bradley Foundation_2019</v>
      </c>
      <c r="D874" s="4" t="s">
        <v>15</v>
      </c>
      <c r="E874" s="8" t="s">
        <v>46</v>
      </c>
      <c r="F874" s="6">
        <v>450000</v>
      </c>
      <c r="G874" s="4">
        <v>2019</v>
      </c>
      <c r="H874" s="4" t="s">
        <v>361</v>
      </c>
    </row>
    <row r="875" spans="1:8" ht="15.75" customHeight="1" x14ac:dyDescent="0.2">
      <c r="A875" s="4">
        <v>990</v>
      </c>
      <c r="B875" s="4" t="str">
        <f t="shared" si="3"/>
        <v>Lynde and Harry Bradley Foundation_State Policy Network2018100000</v>
      </c>
      <c r="C875" s="4" t="str">
        <f ca="1">IFERROR(__xludf.DUMMYFUNCTION("ARRAY_CONSTRAIN(ARRAYFORMULA(SINGLE(TEXTJOIN(""_"",TRUE,D875,G875))), 1, 1)"),"Lynde and Harry Bradley Foundation_2018")</f>
        <v>Lynde and Harry Bradley Foundation_2018</v>
      </c>
      <c r="D875" s="4" t="s">
        <v>15</v>
      </c>
      <c r="E875" s="8" t="s">
        <v>46</v>
      </c>
      <c r="F875" s="6">
        <v>100000</v>
      </c>
      <c r="G875" s="4">
        <v>2018</v>
      </c>
      <c r="H875" s="4" t="s">
        <v>361</v>
      </c>
    </row>
    <row r="876" spans="1:8" ht="15.75" customHeight="1" x14ac:dyDescent="0.2">
      <c r="A876" s="4">
        <v>990</v>
      </c>
      <c r="B876" s="4" t="str">
        <f t="shared" si="3"/>
        <v>Lynde and Harry Bradley Foundation_State Policy Network2018156250</v>
      </c>
      <c r="C876" s="4" t="str">
        <f ca="1">IFERROR(__xludf.DUMMYFUNCTION("ARRAY_CONSTRAIN(ARRAYFORMULA(SINGLE(TEXTJOIN(""_"",TRUE,D876,G876))), 1, 1)"),"Lynde and Harry Bradley Foundation_2018")</f>
        <v>Lynde and Harry Bradley Foundation_2018</v>
      </c>
      <c r="D876" s="4" t="s">
        <v>15</v>
      </c>
      <c r="E876" s="8" t="s">
        <v>46</v>
      </c>
      <c r="F876" s="6">
        <v>156250</v>
      </c>
      <c r="G876" s="4">
        <v>2018</v>
      </c>
      <c r="H876" s="4" t="s">
        <v>361</v>
      </c>
    </row>
    <row r="877" spans="1:8" ht="15.75" customHeight="1" x14ac:dyDescent="0.2">
      <c r="A877" s="4">
        <v>990</v>
      </c>
      <c r="B877" s="4" t="str">
        <f t="shared" si="3"/>
        <v>Lynde and Harry Bradley Foundation_State Policy Network2018468750</v>
      </c>
      <c r="C877" s="4" t="str">
        <f ca="1">IFERROR(__xludf.DUMMYFUNCTION("ARRAY_CONSTRAIN(ARRAYFORMULA(SINGLE(TEXTJOIN(""_"",TRUE,D877,G877))), 1, 1)"),"Lynde and Harry Bradley Foundation_2018")</f>
        <v>Lynde and Harry Bradley Foundation_2018</v>
      </c>
      <c r="D877" s="4" t="s">
        <v>15</v>
      </c>
      <c r="E877" s="8" t="s">
        <v>46</v>
      </c>
      <c r="F877" s="6">
        <v>468750</v>
      </c>
      <c r="G877" s="4">
        <v>2018</v>
      </c>
      <c r="H877" s="4" t="s">
        <v>361</v>
      </c>
    </row>
    <row r="878" spans="1:8" ht="15.75" customHeight="1" x14ac:dyDescent="0.2">
      <c r="A878" s="4">
        <v>990</v>
      </c>
      <c r="B878" s="4" t="str">
        <f t="shared" si="3"/>
        <v>Lynde and Harry Bradley Foundation_State Policy Network201750000</v>
      </c>
      <c r="C878" s="4" t="str">
        <f ca="1">IFERROR(__xludf.DUMMYFUNCTION("ARRAY_CONSTRAIN(ARRAYFORMULA(SINGLE(TEXTJOIN(""_"",TRUE,D878,G878))), 1, 1)"),"Lynde and Harry Bradley Foundation_2017")</f>
        <v>Lynde and Harry Bradley Foundation_2017</v>
      </c>
      <c r="D878" s="4" t="s">
        <v>15</v>
      </c>
      <c r="E878" s="8" t="s">
        <v>46</v>
      </c>
      <c r="F878" s="6">
        <v>50000</v>
      </c>
      <c r="G878" s="4">
        <v>2017</v>
      </c>
      <c r="H878" s="4" t="s">
        <v>361</v>
      </c>
    </row>
    <row r="879" spans="1:8" ht="15.75" customHeight="1" x14ac:dyDescent="0.2">
      <c r="A879" s="4">
        <v>990</v>
      </c>
      <c r="B879" s="4" t="str">
        <f t="shared" si="3"/>
        <v>Lynde and Harry Bradley Foundation_State Policy Network201750000</v>
      </c>
      <c r="C879" s="4" t="str">
        <f ca="1">IFERROR(__xludf.DUMMYFUNCTION("ARRAY_CONSTRAIN(ARRAYFORMULA(SINGLE(TEXTJOIN(""_"",TRUE,D879,G879))), 1, 1)"),"Lynde and Harry Bradley Foundation_2017")</f>
        <v>Lynde and Harry Bradley Foundation_2017</v>
      </c>
      <c r="D879" s="4" t="s">
        <v>15</v>
      </c>
      <c r="E879" s="8" t="s">
        <v>46</v>
      </c>
      <c r="F879" s="6">
        <v>50000</v>
      </c>
      <c r="G879" s="4">
        <v>2017</v>
      </c>
      <c r="H879" s="4" t="s">
        <v>361</v>
      </c>
    </row>
    <row r="880" spans="1:8" ht="15.75" customHeight="1" x14ac:dyDescent="0.2">
      <c r="A880" s="4">
        <v>990</v>
      </c>
      <c r="B880" s="4" t="str">
        <f t="shared" si="3"/>
        <v>Lynde and Harry Bradley Foundation_State Policy Network201660000</v>
      </c>
      <c r="C880" s="4" t="str">
        <f ca="1">IFERROR(__xludf.DUMMYFUNCTION("ARRAY_CONSTRAIN(ARRAYFORMULA(SINGLE(TEXTJOIN(""_"",TRUE,D880,G880))), 1, 1)"),"Lynde and Harry Bradley Foundation_2016")</f>
        <v>Lynde and Harry Bradley Foundation_2016</v>
      </c>
      <c r="D880" s="4" t="s">
        <v>15</v>
      </c>
      <c r="E880" s="8" t="s">
        <v>46</v>
      </c>
      <c r="F880" s="6">
        <v>60000</v>
      </c>
      <c r="G880" s="4">
        <v>2016</v>
      </c>
      <c r="H880" s="4" t="s">
        <v>361</v>
      </c>
    </row>
    <row r="881" spans="1:9" ht="15.75" customHeight="1" x14ac:dyDescent="0.2">
      <c r="A881" s="4">
        <v>990</v>
      </c>
      <c r="B881" s="4" t="str">
        <f t="shared" si="3"/>
        <v>Lynde and Harry Bradley Foundation_State Policy Network201550000</v>
      </c>
      <c r="C881" s="4" t="str">
        <f ca="1">IFERROR(__xludf.DUMMYFUNCTION("ARRAY_CONSTRAIN(ARRAYFORMULA(SINGLE(TEXTJOIN(""_"",TRUE,D881,G881))), 1, 1)"),"Lynde and Harry Bradley Foundation_2015")</f>
        <v>Lynde and Harry Bradley Foundation_2015</v>
      </c>
      <c r="D881" s="4" t="s">
        <v>15</v>
      </c>
      <c r="E881" s="8" t="s">
        <v>46</v>
      </c>
      <c r="F881" s="6">
        <v>50000</v>
      </c>
      <c r="G881" s="4">
        <v>2015</v>
      </c>
      <c r="H881" s="4" t="s">
        <v>361</v>
      </c>
    </row>
    <row r="882" spans="1:9" ht="15.75" customHeight="1" x14ac:dyDescent="0.2">
      <c r="A882" s="4">
        <v>990</v>
      </c>
      <c r="B882" s="4" t="str">
        <f t="shared" si="3"/>
        <v>Lynde and Harry Bradley Foundation_State Policy Network201445000</v>
      </c>
      <c r="C882" s="4" t="str">
        <f ca="1">IFERROR(__xludf.DUMMYFUNCTION("ARRAY_CONSTRAIN(ARRAYFORMULA(SINGLE(TEXTJOIN(""_"",TRUE,D882,G882))), 1, 1)"),"Lynde and Harry Bradley Foundation_2014")</f>
        <v>Lynde and Harry Bradley Foundation_2014</v>
      </c>
      <c r="D882" s="4" t="s">
        <v>15</v>
      </c>
      <c r="E882" s="8" t="s">
        <v>46</v>
      </c>
      <c r="F882" s="6">
        <v>45000</v>
      </c>
      <c r="G882" s="4">
        <v>2014</v>
      </c>
      <c r="H882" s="4" t="s">
        <v>361</v>
      </c>
    </row>
    <row r="883" spans="1:9" ht="15.75" customHeight="1" x14ac:dyDescent="0.2">
      <c r="A883" s="4" t="s">
        <v>368</v>
      </c>
      <c r="B883" s="4" t="str">
        <f t="shared" si="3"/>
        <v>Lynde and Harry Bradley Foundation_State Policy Network201335000</v>
      </c>
      <c r="C883" s="4" t="str">
        <f ca="1">IFERROR(__xludf.DUMMYFUNCTION("ARRAY_CONSTRAIN(ARRAYFORMULA(SINGLE(TEXTJOIN(""_"",TRUE,D883,G883))), 1, 1)"),"Lynde and Harry Bradley Foundation_2013")</f>
        <v>Lynde and Harry Bradley Foundation_2013</v>
      </c>
      <c r="D883" s="4" t="s">
        <v>15</v>
      </c>
      <c r="E883" s="8" t="s">
        <v>46</v>
      </c>
      <c r="F883" s="6">
        <v>35000</v>
      </c>
      <c r="G883" s="4">
        <v>2013</v>
      </c>
      <c r="H883" s="4" t="s">
        <v>359</v>
      </c>
    </row>
    <row r="884" spans="1:9" ht="15.75" customHeight="1" x14ac:dyDescent="0.2">
      <c r="A884" s="4" t="s">
        <v>368</v>
      </c>
      <c r="B884" s="4" t="str">
        <f t="shared" si="3"/>
        <v>Lynde and Harry Bradley Foundation_State Policy Network201235000</v>
      </c>
      <c r="C884" s="4" t="str">
        <f ca="1">IFERROR(__xludf.DUMMYFUNCTION("ARRAY_CONSTRAIN(ARRAYFORMULA(SINGLE(TEXTJOIN(""_"",TRUE,D884,G884))), 1, 1)"),"Lynde and Harry Bradley Foundation_2012")</f>
        <v>Lynde and Harry Bradley Foundation_2012</v>
      </c>
      <c r="D884" s="4" t="s">
        <v>15</v>
      </c>
      <c r="E884" s="8" t="s">
        <v>46</v>
      </c>
      <c r="F884" s="6">
        <v>35000</v>
      </c>
      <c r="G884" s="4">
        <v>2012</v>
      </c>
      <c r="H884" s="4" t="s">
        <v>359</v>
      </c>
    </row>
    <row r="885" spans="1:9" ht="15.75" customHeight="1" x14ac:dyDescent="0.2">
      <c r="A885" s="4" t="s">
        <v>368</v>
      </c>
      <c r="B885" s="4" t="str">
        <f t="shared" si="3"/>
        <v>Lynde and Harry Bradley Foundation_State Policy Network20125000</v>
      </c>
      <c r="C885" s="4" t="str">
        <f ca="1">IFERROR(__xludf.DUMMYFUNCTION("ARRAY_CONSTRAIN(ARRAYFORMULA(SINGLE(TEXTJOIN(""_"",TRUE,D885,G885))), 1, 1)"),"Lynde and Harry Bradley Foundation_2012")</f>
        <v>Lynde and Harry Bradley Foundation_2012</v>
      </c>
      <c r="D885" s="4" t="s">
        <v>15</v>
      </c>
      <c r="E885" s="8" t="s">
        <v>46</v>
      </c>
      <c r="F885" s="6">
        <v>5000</v>
      </c>
      <c r="G885" s="4">
        <v>2012</v>
      </c>
      <c r="H885" s="4" t="s">
        <v>359</v>
      </c>
    </row>
    <row r="886" spans="1:9" ht="15.75" customHeight="1" x14ac:dyDescent="0.2">
      <c r="A886" s="4" t="s">
        <v>368</v>
      </c>
      <c r="B886" s="4" t="str">
        <f t="shared" si="3"/>
        <v>Lynde and Harry Bradley Foundation_State Policy Network20115000</v>
      </c>
      <c r="C886" s="4" t="str">
        <f ca="1">IFERROR(__xludf.DUMMYFUNCTION("ARRAY_CONSTRAIN(ARRAYFORMULA(SINGLE(TEXTJOIN(""_"",TRUE,D886,G886))), 1, 1)"),"Lynde and Harry Bradley Foundation_2011")</f>
        <v>Lynde and Harry Bradley Foundation_2011</v>
      </c>
      <c r="D886" s="4" t="s">
        <v>15</v>
      </c>
      <c r="E886" s="8" t="s">
        <v>46</v>
      </c>
      <c r="F886" s="6">
        <v>5000</v>
      </c>
      <c r="G886" s="4">
        <v>2011</v>
      </c>
      <c r="H886" s="4" t="s">
        <v>359</v>
      </c>
    </row>
    <row r="887" spans="1:9" ht="15.75" customHeight="1" x14ac:dyDescent="0.2">
      <c r="A887" s="4" t="s">
        <v>368</v>
      </c>
      <c r="B887" s="4" t="str">
        <f t="shared" si="3"/>
        <v>Lynde and Harry Bradley Foundation_State Policy Network20105000</v>
      </c>
      <c r="C887" s="4" t="str">
        <f ca="1">IFERROR(__xludf.DUMMYFUNCTION("ARRAY_CONSTRAIN(ARRAYFORMULA(SINGLE(TEXTJOIN(""_"",TRUE,D887,G887))), 1, 1)"),"Lynde and Harry Bradley Foundation_2010")</f>
        <v>Lynde and Harry Bradley Foundation_2010</v>
      </c>
      <c r="D887" s="4" t="s">
        <v>15</v>
      </c>
      <c r="E887" s="8" t="s">
        <v>46</v>
      </c>
      <c r="F887" s="6">
        <v>5000</v>
      </c>
      <c r="G887" s="4">
        <v>2010</v>
      </c>
      <c r="H887" s="4" t="s">
        <v>589</v>
      </c>
      <c r="I887" s="4" t="s">
        <v>590</v>
      </c>
    </row>
    <row r="888" spans="1:9" ht="15.75" customHeight="1" x14ac:dyDescent="0.2">
      <c r="A888" s="4" t="s">
        <v>368</v>
      </c>
      <c r="B888" s="4" t="str">
        <f t="shared" si="3"/>
        <v>Lynde and Harry Bradley Foundation_State Policy Network201025000</v>
      </c>
      <c r="C888" s="4" t="str">
        <f ca="1">IFERROR(__xludf.DUMMYFUNCTION("ARRAY_CONSTRAIN(ARRAYFORMULA(SINGLE(TEXTJOIN(""_"",TRUE,D888,G888))), 1, 1)"),"Lynde and Harry Bradley Foundation_2010")</f>
        <v>Lynde and Harry Bradley Foundation_2010</v>
      </c>
      <c r="D888" s="4" t="s">
        <v>15</v>
      </c>
      <c r="E888" s="8" t="s">
        <v>46</v>
      </c>
      <c r="F888" s="6">
        <v>25000</v>
      </c>
      <c r="G888" s="4">
        <v>2010</v>
      </c>
      <c r="H888" s="4" t="s">
        <v>589</v>
      </c>
      <c r="I888" s="4" t="s">
        <v>590</v>
      </c>
    </row>
    <row r="889" spans="1:9" ht="15.75" customHeight="1" x14ac:dyDescent="0.2">
      <c r="A889" s="4" t="s">
        <v>368</v>
      </c>
      <c r="B889" s="4" t="str">
        <f t="shared" si="3"/>
        <v>Lynde and Harry Bradley Foundation_State Policy Network200925000</v>
      </c>
      <c r="C889" s="4" t="str">
        <f ca="1">IFERROR(__xludf.DUMMYFUNCTION("ARRAY_CONSTRAIN(ARRAYFORMULA(SINGLE(TEXTJOIN(""_"",TRUE,D889,G889))), 1, 1)"),"Lynde and Harry Bradley Foundation_2009")</f>
        <v>Lynde and Harry Bradley Foundation_2009</v>
      </c>
      <c r="D889" s="4" t="s">
        <v>15</v>
      </c>
      <c r="E889" s="8" t="s">
        <v>46</v>
      </c>
      <c r="F889" s="6">
        <v>25000</v>
      </c>
      <c r="G889" s="4">
        <v>2009</v>
      </c>
      <c r="H889" s="4" t="s">
        <v>359</v>
      </c>
    </row>
    <row r="890" spans="1:9" ht="15.75" customHeight="1" x14ac:dyDescent="0.2">
      <c r="A890" s="4" t="s">
        <v>368</v>
      </c>
      <c r="B890" s="4" t="str">
        <f t="shared" si="3"/>
        <v>Lynde and Harry Bradley Foundation_State Policy Network200715000</v>
      </c>
      <c r="C890" s="4" t="str">
        <f ca="1">IFERROR(__xludf.DUMMYFUNCTION("ARRAY_CONSTRAIN(ARRAYFORMULA(SINGLE(TEXTJOIN(""_"",TRUE,D890,G890))), 1, 1)"),"Lynde and Harry Bradley Foundation_2007")</f>
        <v>Lynde and Harry Bradley Foundation_2007</v>
      </c>
      <c r="D890" s="4" t="s">
        <v>15</v>
      </c>
      <c r="E890" s="8" t="s">
        <v>46</v>
      </c>
      <c r="F890" s="6">
        <v>15000</v>
      </c>
      <c r="G890" s="4">
        <v>2007</v>
      </c>
      <c r="H890" s="4" t="s">
        <v>359</v>
      </c>
    </row>
    <row r="891" spans="1:9" ht="15.75" customHeight="1" x14ac:dyDescent="0.2">
      <c r="A891" s="4" t="s">
        <v>368</v>
      </c>
      <c r="B891" s="4" t="str">
        <f t="shared" si="3"/>
        <v>Lynde and Harry Bradley Foundation_State Policy Network200540000</v>
      </c>
      <c r="C891" s="4" t="str">
        <f ca="1">IFERROR(__xludf.DUMMYFUNCTION("ARRAY_CONSTRAIN(ARRAYFORMULA(SINGLE(TEXTJOIN(""_"",TRUE,D891,G891))), 1, 1)"),"Lynde and Harry Bradley Foundation_2005")</f>
        <v>Lynde and Harry Bradley Foundation_2005</v>
      </c>
      <c r="D891" s="4" t="s">
        <v>15</v>
      </c>
      <c r="E891" s="8" t="s">
        <v>46</v>
      </c>
      <c r="F891" s="6">
        <v>40000</v>
      </c>
      <c r="G891" s="4">
        <v>2005</v>
      </c>
      <c r="H891" s="4" t="s">
        <v>359</v>
      </c>
    </row>
    <row r="892" spans="1:9" ht="15.75" customHeight="1" x14ac:dyDescent="0.2">
      <c r="A892" s="4" t="s">
        <v>368</v>
      </c>
      <c r="B892" s="4" t="str">
        <f t="shared" si="3"/>
        <v>Lynde and Harry Bradley Foundation_State Policy Network199325000</v>
      </c>
      <c r="C892" s="4" t="str">
        <f ca="1">IFERROR(__xludf.DUMMYFUNCTION("ARRAY_CONSTRAIN(ARRAYFORMULA(SINGLE(TEXTJOIN(""_"",TRUE,D892,G892))), 1, 1)"),"Lynde and Harry Bradley Foundation_1993")</f>
        <v>Lynde and Harry Bradley Foundation_1993</v>
      </c>
      <c r="D892" s="4" t="s">
        <v>15</v>
      </c>
      <c r="E892" s="8" t="s">
        <v>46</v>
      </c>
      <c r="F892" s="6">
        <v>25000</v>
      </c>
      <c r="G892" s="4">
        <v>1993</v>
      </c>
      <c r="H892" s="4" t="s">
        <v>559</v>
      </c>
    </row>
    <row r="893" spans="1:9" ht="15.75" customHeight="1" x14ac:dyDescent="0.2">
      <c r="A893" s="5" t="s">
        <v>591</v>
      </c>
      <c r="B893" s="4" t="str">
        <f t="shared" si="3"/>
        <v>Macdougal Family Foundation_State Policy Network20211500</v>
      </c>
      <c r="C893" s="4" t="str">
        <f ca="1">IFERROR(__xludf.DUMMYFUNCTION("ARRAY_CONSTRAIN(ARRAYFORMULA(SINGLE(TEXTJOIN(""_"",TRUE,D893,G893))), 1, 1)"),"Macdougal Family Foundation_2021")</f>
        <v>Macdougal Family Foundation_2021</v>
      </c>
      <c r="D893" s="4" t="s">
        <v>140</v>
      </c>
      <c r="E893" s="8" t="s">
        <v>46</v>
      </c>
      <c r="F893" s="6">
        <v>1500</v>
      </c>
      <c r="G893" s="4">
        <v>2021</v>
      </c>
      <c r="H893" s="4" t="s">
        <v>361</v>
      </c>
    </row>
    <row r="894" spans="1:9" ht="15.75" customHeight="1" x14ac:dyDescent="0.2">
      <c r="A894" s="5" t="s">
        <v>592</v>
      </c>
      <c r="B894" s="4" t="str">
        <f t="shared" si="3"/>
        <v>Macdougal Family Foundation_State Policy Network20201000</v>
      </c>
      <c r="C894" s="4" t="str">
        <f ca="1">IFERROR(__xludf.DUMMYFUNCTION("ARRAY_CONSTRAIN(ARRAYFORMULA(SINGLE(TEXTJOIN(""_"",TRUE,D894,G894))), 1, 1)"),"Macdougal Family Foundation_2020")</f>
        <v>Macdougal Family Foundation_2020</v>
      </c>
      <c r="D894" s="4" t="s">
        <v>140</v>
      </c>
      <c r="E894" s="8" t="s">
        <v>46</v>
      </c>
      <c r="F894" s="6">
        <v>1000</v>
      </c>
      <c r="G894" s="4">
        <v>2020</v>
      </c>
      <c r="H894" s="4" t="s">
        <v>361</v>
      </c>
    </row>
    <row r="895" spans="1:9" ht="15.75" customHeight="1" x14ac:dyDescent="0.2">
      <c r="A895" s="5" t="s">
        <v>593</v>
      </c>
      <c r="B895" s="4" t="str">
        <f t="shared" si="3"/>
        <v>Macdougal Family Foundation_State Policy Network20181000</v>
      </c>
      <c r="C895" s="4" t="str">
        <f ca="1">IFERROR(__xludf.DUMMYFUNCTION("ARRAY_CONSTRAIN(ARRAYFORMULA(SINGLE(TEXTJOIN(""_"",TRUE,D895,G895))), 1, 1)"),"Macdougal Family Foundation_2018")</f>
        <v>Macdougal Family Foundation_2018</v>
      </c>
      <c r="D895" s="4" t="s">
        <v>140</v>
      </c>
      <c r="E895" s="8" t="s">
        <v>46</v>
      </c>
      <c r="F895" s="6">
        <v>1000</v>
      </c>
      <c r="G895" s="4">
        <v>2018</v>
      </c>
      <c r="H895" s="4" t="s">
        <v>361</v>
      </c>
    </row>
    <row r="896" spans="1:9" ht="15.75" customHeight="1" x14ac:dyDescent="0.2">
      <c r="A896" s="5" t="s">
        <v>594</v>
      </c>
      <c r="B896" s="4" t="str">
        <f t="shared" si="3"/>
        <v>Macdougal Family Foundation_State Policy Network20172000</v>
      </c>
      <c r="C896" s="4" t="str">
        <f ca="1">IFERROR(__xludf.DUMMYFUNCTION("ARRAY_CONSTRAIN(ARRAYFORMULA(SINGLE(TEXTJOIN(""_"",TRUE,D896,G896))), 1, 1)"),"Macdougal Family Foundation_2017")</f>
        <v>Macdougal Family Foundation_2017</v>
      </c>
      <c r="D896" s="4" t="s">
        <v>140</v>
      </c>
      <c r="E896" s="8" t="s">
        <v>46</v>
      </c>
      <c r="F896" s="6">
        <v>2000</v>
      </c>
      <c r="G896" s="4">
        <v>2017</v>
      </c>
      <c r="H896" s="4" t="s">
        <v>361</v>
      </c>
    </row>
    <row r="897" spans="1:8" ht="15.75" customHeight="1" x14ac:dyDescent="0.2">
      <c r="A897" s="5" t="s">
        <v>595</v>
      </c>
      <c r="B897" s="4" t="str">
        <f t="shared" si="3"/>
        <v>Macdougal Family Foundation_State Policy Network20151000</v>
      </c>
      <c r="C897" s="4" t="str">
        <f ca="1">IFERROR(__xludf.DUMMYFUNCTION("ARRAY_CONSTRAIN(ARRAYFORMULA(SINGLE(TEXTJOIN(""_"",TRUE,D897,G897))), 1, 1)"),"Macdougal Family Foundation_2015")</f>
        <v>Macdougal Family Foundation_2015</v>
      </c>
      <c r="D897" s="4" t="s">
        <v>140</v>
      </c>
      <c r="E897" s="8" t="s">
        <v>46</v>
      </c>
      <c r="F897" s="6">
        <v>1000</v>
      </c>
      <c r="G897" s="4">
        <v>2015</v>
      </c>
      <c r="H897" s="4" t="s">
        <v>361</v>
      </c>
    </row>
    <row r="898" spans="1:8" ht="15.75" customHeight="1" x14ac:dyDescent="0.2">
      <c r="A898" s="5" t="s">
        <v>596</v>
      </c>
      <c r="B898" s="4" t="str">
        <f t="shared" si="3"/>
        <v>Macdougal Family Foundation_State Policy Network2012500</v>
      </c>
      <c r="C898" s="4" t="str">
        <f ca="1">IFERROR(__xludf.DUMMYFUNCTION("ARRAY_CONSTRAIN(ARRAYFORMULA(SINGLE(TEXTJOIN(""_"",TRUE,D898,G898))), 1, 1)"),"Macdougal Family Foundation_2012")</f>
        <v>Macdougal Family Foundation_2012</v>
      </c>
      <c r="D898" s="4" t="s">
        <v>140</v>
      </c>
      <c r="E898" s="8" t="s">
        <v>46</v>
      </c>
      <c r="F898" s="6">
        <v>500</v>
      </c>
      <c r="G898" s="4">
        <v>2012</v>
      </c>
      <c r="H898" s="4" t="s">
        <v>361</v>
      </c>
    </row>
    <row r="899" spans="1:8" ht="15.75" customHeight="1" x14ac:dyDescent="0.2">
      <c r="A899" s="5" t="s">
        <v>597</v>
      </c>
      <c r="B899" s="4" t="str">
        <f t="shared" si="3"/>
        <v>Maine Community Foundation_State Policy Network20175000</v>
      </c>
      <c r="C899" s="4" t="str">
        <f ca="1">IFERROR(__xludf.DUMMYFUNCTION("ARRAY_CONSTRAIN(ARRAYFORMULA(SINGLE(TEXTJOIN(""_"",TRUE,D899,G899))), 1, 1)"),"Maine Community Foundation_2017")</f>
        <v>Maine Community Foundation_2017</v>
      </c>
      <c r="D899" s="4" t="s">
        <v>99</v>
      </c>
      <c r="E899" s="8" t="s">
        <v>46</v>
      </c>
      <c r="F899" s="6">
        <v>5000</v>
      </c>
      <c r="G899" s="4">
        <v>2017</v>
      </c>
      <c r="H899" s="4" t="s">
        <v>361</v>
      </c>
    </row>
    <row r="900" spans="1:8" ht="15.75" customHeight="1" x14ac:dyDescent="0.2">
      <c r="A900" s="5" t="s">
        <v>598</v>
      </c>
      <c r="B900" s="4" t="str">
        <f t="shared" si="3"/>
        <v>Maine Community Foundation_State Policy Network20165000</v>
      </c>
      <c r="C900" s="4" t="str">
        <f ca="1">IFERROR(__xludf.DUMMYFUNCTION("ARRAY_CONSTRAIN(ARRAYFORMULA(SINGLE(TEXTJOIN(""_"",TRUE,D900,G900))), 1, 1)"),"Maine Community Foundation_2016")</f>
        <v>Maine Community Foundation_2016</v>
      </c>
      <c r="D900" s="4" t="s">
        <v>99</v>
      </c>
      <c r="E900" s="8" t="s">
        <v>46</v>
      </c>
      <c r="F900" s="6">
        <v>5000</v>
      </c>
      <c r="G900" s="4">
        <v>2016</v>
      </c>
      <c r="H900" s="4" t="s">
        <v>361</v>
      </c>
    </row>
    <row r="901" spans="1:8" ht="15.75" customHeight="1" x14ac:dyDescent="0.2">
      <c r="A901" s="5" t="s">
        <v>599</v>
      </c>
      <c r="B901" s="4" t="str">
        <f t="shared" si="3"/>
        <v>Maine Community Foundation_State Policy Network20145000</v>
      </c>
      <c r="C901" s="4" t="str">
        <f ca="1">IFERROR(__xludf.DUMMYFUNCTION("ARRAY_CONSTRAIN(ARRAYFORMULA(SINGLE(TEXTJOIN(""_"",TRUE,D901,G901))), 1, 1)"),"Maine Community Foundation_2014")</f>
        <v>Maine Community Foundation_2014</v>
      </c>
      <c r="D901" s="4" t="s">
        <v>99</v>
      </c>
      <c r="E901" s="8" t="s">
        <v>46</v>
      </c>
      <c r="F901" s="6">
        <v>5000</v>
      </c>
      <c r="G901" s="4">
        <v>2014</v>
      </c>
      <c r="H901" s="4" t="s">
        <v>361</v>
      </c>
    </row>
    <row r="902" spans="1:8" ht="15.75" customHeight="1" x14ac:dyDescent="0.2">
      <c r="A902" s="5" t="s">
        <v>600</v>
      </c>
      <c r="B902" s="4" t="str">
        <f t="shared" si="3"/>
        <v>Maine Community Foundation_State Policy Network20135250</v>
      </c>
      <c r="C902" s="4" t="str">
        <f ca="1">IFERROR(__xludf.DUMMYFUNCTION("ARRAY_CONSTRAIN(ARRAYFORMULA(SINGLE(TEXTJOIN(""_"",TRUE,D902,G902))), 1, 1)"),"Maine Community Foundation_2013")</f>
        <v>Maine Community Foundation_2013</v>
      </c>
      <c r="D902" s="4" t="s">
        <v>99</v>
      </c>
      <c r="E902" s="8" t="s">
        <v>46</v>
      </c>
      <c r="F902" s="6">
        <v>5250</v>
      </c>
      <c r="G902" s="4">
        <v>2013</v>
      </c>
      <c r="H902" s="4" t="s">
        <v>361</v>
      </c>
    </row>
    <row r="903" spans="1:8" ht="15.75" customHeight="1" x14ac:dyDescent="0.2">
      <c r="A903" s="5" t="s">
        <v>601</v>
      </c>
      <c r="B903" s="4" t="str">
        <f t="shared" si="3"/>
        <v>Maine Community Foundation_State Policy Network20071000</v>
      </c>
      <c r="C903" s="4" t="str">
        <f ca="1">IFERROR(__xludf.DUMMYFUNCTION("ARRAY_CONSTRAIN(ARRAYFORMULA(SINGLE(TEXTJOIN(""_"",TRUE,D903,G903))), 1, 1)"),"Maine Community Foundation_2007")</f>
        <v>Maine Community Foundation_2007</v>
      </c>
      <c r="D903" s="4" t="s">
        <v>99</v>
      </c>
      <c r="E903" s="8" t="s">
        <v>46</v>
      </c>
      <c r="F903" s="6">
        <v>1000</v>
      </c>
      <c r="G903" s="4">
        <v>2007</v>
      </c>
      <c r="H903" s="4" t="s">
        <v>361</v>
      </c>
    </row>
    <row r="904" spans="1:8" ht="15.75" customHeight="1" x14ac:dyDescent="0.2">
      <c r="A904" s="5" t="s">
        <v>602</v>
      </c>
      <c r="B904" s="4" t="str">
        <f t="shared" si="3"/>
        <v>Marguerite A Scribante Foundation_State Policy Network2014500</v>
      </c>
      <c r="C904" s="4" t="str">
        <f ca="1">IFERROR(__xludf.DUMMYFUNCTION("ARRAY_CONSTRAIN(ARRAYFORMULA(SINGLE(TEXTJOIN(""_"",TRUE,D904,G904))), 1, 1)"),"Marguerite A Scribante Foundation_2014")</f>
        <v>Marguerite A Scribante Foundation_2014</v>
      </c>
      <c r="D904" s="4" t="s">
        <v>198</v>
      </c>
      <c r="E904" s="8" t="s">
        <v>46</v>
      </c>
      <c r="F904" s="6">
        <v>500</v>
      </c>
      <c r="G904" s="4">
        <v>2014</v>
      </c>
      <c r="H904" s="4" t="s">
        <v>361</v>
      </c>
    </row>
    <row r="905" spans="1:8" ht="15.75" customHeight="1" x14ac:dyDescent="0.2">
      <c r="A905" s="5" t="s">
        <v>603</v>
      </c>
      <c r="B905" s="4" t="str">
        <f t="shared" si="3"/>
        <v>Mark E &amp; Mary A Davis Foundation_State Policy Network20211500</v>
      </c>
      <c r="C905" s="4" t="str">
        <f ca="1">IFERROR(__xludf.DUMMYFUNCTION("ARRAY_CONSTRAIN(ARRAYFORMULA(SINGLE(TEXTJOIN(""_"",TRUE,D905,G905))), 1, 1)"),"Mark E &amp; Mary A Davis Foundation_2021")</f>
        <v>Mark E &amp; Mary A Davis Foundation_2021</v>
      </c>
      <c r="D905" s="4" t="s">
        <v>165</v>
      </c>
      <c r="E905" s="8" t="s">
        <v>46</v>
      </c>
      <c r="F905" s="6">
        <v>1500</v>
      </c>
      <c r="G905" s="4">
        <v>2021</v>
      </c>
      <c r="H905" s="4" t="s">
        <v>361</v>
      </c>
    </row>
    <row r="906" spans="1:8" ht="15.75" customHeight="1" x14ac:dyDescent="0.2">
      <c r="A906" s="5" t="s">
        <v>604</v>
      </c>
      <c r="B906" s="4" t="str">
        <f t="shared" si="3"/>
        <v>Mark E &amp; Mary A Davis Foundation_State Policy Network2020500</v>
      </c>
      <c r="C906" s="4" t="str">
        <f ca="1">IFERROR(__xludf.DUMMYFUNCTION("ARRAY_CONSTRAIN(ARRAYFORMULA(SINGLE(TEXTJOIN(""_"",TRUE,D906,G906))), 1, 1)"),"Mark E &amp; Mary A Davis Foundation_2020")</f>
        <v>Mark E &amp; Mary A Davis Foundation_2020</v>
      </c>
      <c r="D906" s="4" t="s">
        <v>165</v>
      </c>
      <c r="E906" s="8" t="s">
        <v>46</v>
      </c>
      <c r="F906" s="6">
        <v>500</v>
      </c>
      <c r="G906" s="4">
        <v>2020</v>
      </c>
      <c r="H906" s="4" t="s">
        <v>361</v>
      </c>
    </row>
    <row r="907" spans="1:8" ht="15.75" customHeight="1" x14ac:dyDescent="0.2">
      <c r="A907" s="5" t="s">
        <v>605</v>
      </c>
      <c r="B907" s="4" t="str">
        <f t="shared" si="3"/>
        <v>Mcp Charitable Foundation_State Policy Network20222000</v>
      </c>
      <c r="C907" s="4" t="str">
        <f ca="1">IFERROR(__xludf.DUMMYFUNCTION("ARRAY_CONSTRAIN(ARRAYFORMULA(SINGLE(TEXTJOIN(""_"",TRUE,D907,G907))), 1, 1)"),"Mcp Charitable Foundation_2022")</f>
        <v>Mcp Charitable Foundation_2022</v>
      </c>
      <c r="D907" s="4" t="s">
        <v>157</v>
      </c>
      <c r="E907" s="8" t="s">
        <v>46</v>
      </c>
      <c r="F907" s="6">
        <v>2000</v>
      </c>
      <c r="G907" s="4">
        <v>2022</v>
      </c>
      <c r="H907" s="4" t="s">
        <v>361</v>
      </c>
    </row>
    <row r="908" spans="1:8" ht="15.75" customHeight="1" x14ac:dyDescent="0.2">
      <c r="A908" s="5" t="s">
        <v>606</v>
      </c>
      <c r="B908" s="4" t="str">
        <f t="shared" si="3"/>
        <v>Mcp Charitable Foundation_State Policy Network20191000</v>
      </c>
      <c r="C908" s="4" t="str">
        <f ca="1">IFERROR(__xludf.DUMMYFUNCTION("ARRAY_CONSTRAIN(ARRAYFORMULA(SINGLE(TEXTJOIN(""_"",TRUE,D908,G908))), 1, 1)"),"Mcp Charitable Foundation_2019")</f>
        <v>Mcp Charitable Foundation_2019</v>
      </c>
      <c r="D908" s="4" t="s">
        <v>157</v>
      </c>
      <c r="E908" s="8" t="s">
        <v>46</v>
      </c>
      <c r="F908" s="6">
        <v>1000</v>
      </c>
      <c r="G908" s="4">
        <v>2019</v>
      </c>
      <c r="H908" s="4" t="s">
        <v>361</v>
      </c>
    </row>
    <row r="909" spans="1:8" ht="15.75" customHeight="1" x14ac:dyDescent="0.2">
      <c r="A909" s="5" t="s">
        <v>607</v>
      </c>
      <c r="B909" s="4" t="str">
        <f t="shared" si="3"/>
        <v>Mcp Charitable Foundation_State Policy Network2014500</v>
      </c>
      <c r="C909" s="4" t="str">
        <f ca="1">IFERROR(__xludf.DUMMYFUNCTION("ARRAY_CONSTRAIN(ARRAYFORMULA(SINGLE(TEXTJOIN(""_"",TRUE,D909,G909))), 1, 1)"),"Mcp Charitable Foundation_2014")</f>
        <v>Mcp Charitable Foundation_2014</v>
      </c>
      <c r="D909" s="4" t="s">
        <v>157</v>
      </c>
      <c r="E909" s="8" t="s">
        <v>46</v>
      </c>
      <c r="F909" s="6">
        <v>500</v>
      </c>
      <c r="G909" s="4">
        <v>2014</v>
      </c>
      <c r="H909" s="4" t="s">
        <v>361</v>
      </c>
    </row>
    <row r="910" spans="1:8" ht="15.75" customHeight="1" x14ac:dyDescent="0.2">
      <c r="A910" s="5" t="s">
        <v>608</v>
      </c>
      <c r="B910" s="4" t="str">
        <f t="shared" si="3"/>
        <v>Mcp Charitable Foundation_State Policy Network2013</v>
      </c>
      <c r="C910" s="4" t="str">
        <f ca="1">IFERROR(__xludf.DUMMYFUNCTION("ARRAY_CONSTRAIN(ARRAYFORMULA(SINGLE(TEXTJOIN(""_"",TRUE,D910,G910))), 1, 1)"),"Mcp Charitable Foundation_2013")</f>
        <v>Mcp Charitable Foundation_2013</v>
      </c>
      <c r="D910" s="4" t="s">
        <v>157</v>
      </c>
      <c r="E910" s="8" t="s">
        <v>46</v>
      </c>
      <c r="F910" s="6"/>
      <c r="G910" s="4">
        <v>2013</v>
      </c>
      <c r="H910" s="4" t="s">
        <v>361</v>
      </c>
    </row>
    <row r="911" spans="1:8" ht="15.75" customHeight="1" x14ac:dyDescent="0.2">
      <c r="A911" s="4">
        <v>990</v>
      </c>
      <c r="B911" s="4" t="str">
        <f t="shared" si="3"/>
        <v>McWethy Foundation_State Policy Network20198000</v>
      </c>
      <c r="C911" s="4" t="str">
        <f ca="1">IFERROR(__xludf.DUMMYFUNCTION("ARRAY_CONSTRAIN(ARRAYFORMULA(SINGLE(TEXTJOIN(""_"",TRUE,D911,G911))), 1, 1)"),"McWethy Foundation_2019")</f>
        <v>McWethy Foundation_2019</v>
      </c>
      <c r="D911" s="4" t="s">
        <v>133</v>
      </c>
      <c r="E911" s="8" t="s">
        <v>46</v>
      </c>
      <c r="F911" s="6">
        <v>8000</v>
      </c>
      <c r="G911" s="4">
        <v>2019</v>
      </c>
      <c r="H911" s="4" t="s">
        <v>361</v>
      </c>
    </row>
    <row r="912" spans="1:8" ht="15.75" customHeight="1" x14ac:dyDescent="0.2">
      <c r="A912" s="5" t="s">
        <v>609</v>
      </c>
      <c r="B912" s="4" t="str">
        <f t="shared" si="3"/>
        <v>Melvin S Cohen Foundation_State Policy Network202210000</v>
      </c>
      <c r="C912" s="4" t="str">
        <f ca="1">IFERROR(__xludf.DUMMYFUNCTION("ARRAY_CONSTRAIN(ARRAYFORMULA(SINGLE(TEXTJOIN(""_"",TRUE,D912,G912))), 1, 1)"),"Melvin S Cohen Foundation_2022")</f>
        <v>Melvin S Cohen Foundation_2022</v>
      </c>
      <c r="D912" s="4" t="s">
        <v>83</v>
      </c>
      <c r="E912" s="8" t="s">
        <v>46</v>
      </c>
      <c r="F912" s="6">
        <v>10000</v>
      </c>
      <c r="G912" s="4">
        <v>2022</v>
      </c>
      <c r="H912" s="4" t="s">
        <v>361</v>
      </c>
    </row>
    <row r="913" spans="1:8" ht="15.75" customHeight="1" x14ac:dyDescent="0.2">
      <c r="A913" s="5" t="s">
        <v>610</v>
      </c>
      <c r="B913" s="4" t="str">
        <f t="shared" si="3"/>
        <v>Melvin S Cohen Foundation_State Policy Network202110000</v>
      </c>
      <c r="C913" s="4" t="str">
        <f ca="1">IFERROR(__xludf.DUMMYFUNCTION("ARRAY_CONSTRAIN(ARRAYFORMULA(SINGLE(TEXTJOIN(""_"",TRUE,D913,G913))), 1, 1)"),"Melvin S Cohen Foundation_2021")</f>
        <v>Melvin S Cohen Foundation_2021</v>
      </c>
      <c r="D913" s="4" t="s">
        <v>83</v>
      </c>
      <c r="E913" s="8" t="s">
        <v>46</v>
      </c>
      <c r="F913" s="6">
        <v>10000</v>
      </c>
      <c r="G913" s="4">
        <v>2021</v>
      </c>
      <c r="H913" s="4" t="s">
        <v>361</v>
      </c>
    </row>
    <row r="914" spans="1:8" ht="15.75" customHeight="1" x14ac:dyDescent="0.2">
      <c r="A914" s="5" t="s">
        <v>611</v>
      </c>
      <c r="B914" s="4" t="str">
        <f t="shared" si="3"/>
        <v>Melvin S Cohen Foundation_State Policy Network202010000</v>
      </c>
      <c r="C914" s="4" t="str">
        <f ca="1">IFERROR(__xludf.DUMMYFUNCTION("ARRAY_CONSTRAIN(ARRAYFORMULA(SINGLE(TEXTJOIN(""_"",TRUE,D914,G914))), 1, 1)"),"Melvin S Cohen Foundation_2020")</f>
        <v>Melvin S Cohen Foundation_2020</v>
      </c>
      <c r="D914" s="4" t="s">
        <v>83</v>
      </c>
      <c r="E914" s="8" t="s">
        <v>46</v>
      </c>
      <c r="F914" s="6">
        <v>10000</v>
      </c>
      <c r="G914" s="4">
        <v>2020</v>
      </c>
      <c r="H914" s="4" t="s">
        <v>361</v>
      </c>
    </row>
    <row r="915" spans="1:8" ht="15.75" customHeight="1" x14ac:dyDescent="0.2">
      <c r="A915" s="4">
        <v>990</v>
      </c>
      <c r="B915" s="4" t="str">
        <f t="shared" si="3"/>
        <v>Mercatus Center_State Policy Network20187500</v>
      </c>
      <c r="C915" s="4" t="str">
        <f ca="1">IFERROR(__xludf.DUMMYFUNCTION("ARRAY_CONSTRAIN(ARRAYFORMULA(SINGLE(TEXTJOIN(""_"",TRUE,D915,G915))), 1, 1)"),"Mercatus Center_2018")</f>
        <v>Mercatus Center_2018</v>
      </c>
      <c r="D915" s="4" t="s">
        <v>137</v>
      </c>
      <c r="E915" s="8" t="s">
        <v>46</v>
      </c>
      <c r="F915" s="6">
        <v>7500</v>
      </c>
      <c r="G915" s="4">
        <v>2018</v>
      </c>
      <c r="H915" s="4" t="s">
        <v>361</v>
      </c>
    </row>
    <row r="916" spans="1:8" ht="15.75" customHeight="1" x14ac:dyDescent="0.2">
      <c r="A916" s="4">
        <v>990</v>
      </c>
      <c r="B916" s="4" t="str">
        <f t="shared" si="3"/>
        <v>Mercer Family Foundation_State Policy Network201450000</v>
      </c>
      <c r="C916" s="4" t="str">
        <f ca="1">IFERROR(__xludf.DUMMYFUNCTION("ARRAY_CONSTRAIN(ARRAYFORMULA(SINGLE(TEXTJOIN(""_"",TRUE,D916,G916))), 1, 1)"),"Mercer Family Foundation_2014")</f>
        <v>Mercer Family Foundation_2014</v>
      </c>
      <c r="D916" s="4" t="s">
        <v>51</v>
      </c>
      <c r="E916" s="8" t="s">
        <v>46</v>
      </c>
      <c r="F916" s="6">
        <v>50000</v>
      </c>
      <c r="G916" s="4">
        <v>2014</v>
      </c>
      <c r="H916" s="4" t="s">
        <v>361</v>
      </c>
    </row>
    <row r="917" spans="1:8" ht="15.75" customHeight="1" x14ac:dyDescent="0.2">
      <c r="A917" s="4">
        <v>990</v>
      </c>
      <c r="B917" s="4" t="str">
        <f t="shared" si="3"/>
        <v>Mercer Family Foundation_State Policy Network201350000</v>
      </c>
      <c r="C917" s="4" t="str">
        <f ca="1">IFERROR(__xludf.DUMMYFUNCTION("ARRAY_CONSTRAIN(ARRAYFORMULA(SINGLE(TEXTJOIN(""_"",TRUE,D917,G917))), 1, 1)"),"Mercer Family Foundation_2013")</f>
        <v>Mercer Family Foundation_2013</v>
      </c>
      <c r="D917" s="4" t="s">
        <v>51</v>
      </c>
      <c r="E917" s="8" t="s">
        <v>46</v>
      </c>
      <c r="F917" s="6">
        <v>50000</v>
      </c>
      <c r="G917" s="4">
        <v>2013</v>
      </c>
      <c r="H917" s="4" t="s">
        <v>361</v>
      </c>
    </row>
    <row r="918" spans="1:8" ht="15.75" customHeight="1" x14ac:dyDescent="0.2">
      <c r="A918" s="5" t="s">
        <v>612</v>
      </c>
      <c r="B918" s="4" t="str">
        <f t="shared" si="3"/>
        <v>Milbank Foundation for Rehabilitation_State Policy Network2020125000</v>
      </c>
      <c r="C918" s="4" t="str">
        <f ca="1">IFERROR(__xludf.DUMMYFUNCTION("ARRAY_CONSTRAIN(ARRAYFORMULA(SINGLE(TEXTJOIN(""_"",TRUE,D918,G918))), 1, 1)"),"Milbank Foundation for Rehabilitation_2020")</f>
        <v>Milbank Foundation for Rehabilitation_2020</v>
      </c>
      <c r="D918" s="4" t="s">
        <v>28</v>
      </c>
      <c r="E918" s="8" t="s">
        <v>46</v>
      </c>
      <c r="F918" s="6">
        <v>125000</v>
      </c>
      <c r="G918" s="4">
        <v>2020</v>
      </c>
      <c r="H918" s="4" t="s">
        <v>361</v>
      </c>
    </row>
    <row r="919" spans="1:8" ht="15.75" customHeight="1" x14ac:dyDescent="0.2">
      <c r="A919" s="5" t="s">
        <v>613</v>
      </c>
      <c r="B919" s="4" t="str">
        <f t="shared" si="3"/>
        <v>Milbank Foundation for Rehabilitation_State Policy Network2019125000</v>
      </c>
      <c r="C919" s="4" t="str">
        <f ca="1">IFERROR(__xludf.DUMMYFUNCTION("ARRAY_CONSTRAIN(ARRAYFORMULA(SINGLE(TEXTJOIN(""_"",TRUE,D919,G919))), 1, 1)"),"Milbank Foundation for Rehabilitation_2019")</f>
        <v>Milbank Foundation for Rehabilitation_2019</v>
      </c>
      <c r="D919" s="4" t="s">
        <v>28</v>
      </c>
      <c r="E919" s="8" t="s">
        <v>46</v>
      </c>
      <c r="F919" s="6">
        <v>125000</v>
      </c>
      <c r="G919" s="4">
        <v>2019</v>
      </c>
      <c r="H919" s="4" t="s">
        <v>361</v>
      </c>
    </row>
    <row r="920" spans="1:8" ht="15.75" customHeight="1" x14ac:dyDescent="0.2">
      <c r="A920" s="5" t="s">
        <v>614</v>
      </c>
      <c r="B920" s="4" t="str">
        <f t="shared" si="3"/>
        <v>Milbank Foundation for Rehabilitation_State Policy Network2018125000</v>
      </c>
      <c r="C920" s="4" t="str">
        <f ca="1">IFERROR(__xludf.DUMMYFUNCTION("ARRAY_CONSTRAIN(ARRAYFORMULA(SINGLE(TEXTJOIN(""_"",TRUE,D920,G920))), 1, 1)"),"Milbank Foundation for Rehabilitation_2018")</f>
        <v>Milbank Foundation for Rehabilitation_2018</v>
      </c>
      <c r="D920" s="4" t="s">
        <v>28</v>
      </c>
      <c r="E920" s="8" t="s">
        <v>46</v>
      </c>
      <c r="F920" s="6">
        <v>125000</v>
      </c>
      <c r="G920" s="4">
        <v>2018</v>
      </c>
      <c r="H920" s="4" t="s">
        <v>361</v>
      </c>
    </row>
    <row r="921" spans="1:8" ht="15.75" customHeight="1" x14ac:dyDescent="0.2">
      <c r="A921" s="5" t="s">
        <v>615</v>
      </c>
      <c r="B921" s="4" t="str">
        <f t="shared" si="3"/>
        <v>Minneapolis Foundation_State Policy Network20207000</v>
      </c>
      <c r="C921" s="4" t="str">
        <f ca="1">IFERROR(__xludf.DUMMYFUNCTION("ARRAY_CONSTRAIN(ARRAYFORMULA(SINGLE(TEXTJOIN(""_"",TRUE,D921,G921))), 1, 1)"),"Minneapolis Foundation_2020")</f>
        <v>Minneapolis Foundation_2020</v>
      </c>
      <c r="D921" s="4" t="s">
        <v>96</v>
      </c>
      <c r="E921" s="8" t="s">
        <v>46</v>
      </c>
      <c r="F921" s="6">
        <v>7000</v>
      </c>
      <c r="G921" s="4">
        <v>2020</v>
      </c>
      <c r="H921" s="4" t="s">
        <v>361</v>
      </c>
    </row>
    <row r="922" spans="1:8" ht="15.75" customHeight="1" x14ac:dyDescent="0.2">
      <c r="A922" s="5" t="s">
        <v>616</v>
      </c>
      <c r="B922" s="4" t="str">
        <f t="shared" si="3"/>
        <v>Minneapolis Foundation_State Policy Network20197200</v>
      </c>
      <c r="C922" s="4" t="str">
        <f ca="1">IFERROR(__xludf.DUMMYFUNCTION("ARRAY_CONSTRAIN(ARRAYFORMULA(SINGLE(TEXTJOIN(""_"",TRUE,D922,G922))), 1, 1)"),"Minneapolis Foundation_2019")</f>
        <v>Minneapolis Foundation_2019</v>
      </c>
      <c r="D922" s="4" t="s">
        <v>96</v>
      </c>
      <c r="E922" s="8" t="s">
        <v>46</v>
      </c>
      <c r="F922" s="6">
        <v>7200</v>
      </c>
      <c r="G922" s="4">
        <v>2019</v>
      </c>
      <c r="H922" s="4" t="s">
        <v>361</v>
      </c>
    </row>
    <row r="923" spans="1:8" ht="15.75" customHeight="1" x14ac:dyDescent="0.2">
      <c r="A923" s="5" t="s">
        <v>617</v>
      </c>
      <c r="B923" s="4" t="str">
        <f t="shared" si="3"/>
        <v>Minneapolis Foundation_State Policy Network20175000</v>
      </c>
      <c r="C923" s="4" t="str">
        <f ca="1">IFERROR(__xludf.DUMMYFUNCTION("ARRAY_CONSTRAIN(ARRAYFORMULA(SINGLE(TEXTJOIN(""_"",TRUE,D923,G923))), 1, 1)"),"Minneapolis Foundation_2017")</f>
        <v>Minneapolis Foundation_2017</v>
      </c>
      <c r="D923" s="4" t="s">
        <v>96</v>
      </c>
      <c r="E923" s="8" t="s">
        <v>46</v>
      </c>
      <c r="F923" s="6">
        <v>5000</v>
      </c>
      <c r="G923" s="4">
        <v>2017</v>
      </c>
      <c r="H923" s="4" t="s">
        <v>361</v>
      </c>
    </row>
    <row r="924" spans="1:8" ht="15.75" customHeight="1" x14ac:dyDescent="0.2">
      <c r="A924" s="5" t="s">
        <v>618</v>
      </c>
      <c r="B924" s="4" t="str">
        <f t="shared" si="3"/>
        <v>Minneapolis Foundation_State Policy Network20165000</v>
      </c>
      <c r="C924" s="4" t="str">
        <f ca="1">IFERROR(__xludf.DUMMYFUNCTION("ARRAY_CONSTRAIN(ARRAYFORMULA(SINGLE(TEXTJOIN(""_"",TRUE,D924,G924))), 1, 1)"),"Minneapolis Foundation_2016")</f>
        <v>Minneapolis Foundation_2016</v>
      </c>
      <c r="D924" s="4" t="s">
        <v>96</v>
      </c>
      <c r="E924" s="8" t="s">
        <v>46</v>
      </c>
      <c r="F924" s="6">
        <v>5000</v>
      </c>
      <c r="G924" s="4">
        <v>2016</v>
      </c>
      <c r="H924" s="4" t="s">
        <v>361</v>
      </c>
    </row>
    <row r="925" spans="1:8" ht="15.75" customHeight="1" x14ac:dyDescent="0.2">
      <c r="A925" s="5" t="s">
        <v>619</v>
      </c>
      <c r="B925" s="4" t="str">
        <f t="shared" si="3"/>
        <v>Morse Charitable Foundation_State Policy Network20215000</v>
      </c>
      <c r="C925" s="4" t="str">
        <f ca="1">IFERROR(__xludf.DUMMYFUNCTION("ARRAY_CONSTRAIN(ARRAYFORMULA(SINGLE(TEXTJOIN(""_"",TRUE,D925,G925))), 1, 1)"),"Morse Charitable Foundation_2021")</f>
        <v>Morse Charitable Foundation_2021</v>
      </c>
      <c r="D925" s="4" t="s">
        <v>77</v>
      </c>
      <c r="E925" s="8" t="s">
        <v>46</v>
      </c>
      <c r="F925" s="6">
        <v>5000</v>
      </c>
      <c r="G925" s="4">
        <v>2021</v>
      </c>
      <c r="H925" s="4" t="s">
        <v>361</v>
      </c>
    </row>
    <row r="926" spans="1:8" ht="15.75" customHeight="1" x14ac:dyDescent="0.2">
      <c r="A926" s="5" t="s">
        <v>620</v>
      </c>
      <c r="B926" s="4" t="str">
        <f t="shared" si="3"/>
        <v>Morse Charitable Foundation_State Policy Network20205000</v>
      </c>
      <c r="C926" s="4" t="str">
        <f ca="1">IFERROR(__xludf.DUMMYFUNCTION("ARRAY_CONSTRAIN(ARRAYFORMULA(SINGLE(TEXTJOIN(""_"",TRUE,D926,G926))), 1, 1)"),"Morse Charitable Foundation_2020")</f>
        <v>Morse Charitable Foundation_2020</v>
      </c>
      <c r="D926" s="4" t="s">
        <v>77</v>
      </c>
      <c r="E926" s="8" t="s">
        <v>46</v>
      </c>
      <c r="F926" s="6">
        <v>5000</v>
      </c>
      <c r="G926" s="4">
        <v>2020</v>
      </c>
      <c r="H926" s="4" t="s">
        <v>361</v>
      </c>
    </row>
    <row r="927" spans="1:8" ht="15.75" customHeight="1" x14ac:dyDescent="0.2">
      <c r="A927" s="5" t="s">
        <v>621</v>
      </c>
      <c r="B927" s="4" t="str">
        <f t="shared" si="3"/>
        <v>Morse Charitable Foundation_State Policy Network20185000</v>
      </c>
      <c r="C927" s="4" t="str">
        <f ca="1">IFERROR(__xludf.DUMMYFUNCTION("ARRAY_CONSTRAIN(ARRAYFORMULA(SINGLE(TEXTJOIN(""_"",TRUE,D927,G927))), 1, 1)"),"Morse Charitable Foundation_2018")</f>
        <v>Morse Charitable Foundation_2018</v>
      </c>
      <c r="D927" s="4" t="s">
        <v>77</v>
      </c>
      <c r="E927" s="8" t="s">
        <v>46</v>
      </c>
      <c r="F927" s="6">
        <v>5000</v>
      </c>
      <c r="G927" s="4">
        <v>2018</v>
      </c>
      <c r="H927" s="4" t="s">
        <v>361</v>
      </c>
    </row>
    <row r="928" spans="1:8" ht="15.75" customHeight="1" x14ac:dyDescent="0.2">
      <c r="A928" s="5" t="s">
        <v>622</v>
      </c>
      <c r="B928" s="4" t="str">
        <f t="shared" si="3"/>
        <v>Morse Charitable Foundation_State Policy Network20175000</v>
      </c>
      <c r="C928" s="4" t="str">
        <f ca="1">IFERROR(__xludf.DUMMYFUNCTION("ARRAY_CONSTRAIN(ARRAYFORMULA(SINGLE(TEXTJOIN(""_"",TRUE,D928,G928))), 1, 1)"),"Morse Charitable Foundation_2017")</f>
        <v>Morse Charitable Foundation_2017</v>
      </c>
      <c r="D928" s="4" t="s">
        <v>77</v>
      </c>
      <c r="E928" s="8" t="s">
        <v>46</v>
      </c>
      <c r="F928" s="6">
        <v>5000</v>
      </c>
      <c r="G928" s="4">
        <v>2017</v>
      </c>
      <c r="H928" s="4" t="s">
        <v>361</v>
      </c>
    </row>
    <row r="929" spans="1:8" ht="15.75" customHeight="1" x14ac:dyDescent="0.2">
      <c r="A929" s="5" t="s">
        <v>623</v>
      </c>
      <c r="B929" s="4" t="str">
        <f t="shared" si="3"/>
        <v>Morse Charitable Foundation_State Policy Network201610000</v>
      </c>
      <c r="C929" s="4" t="str">
        <f ca="1">IFERROR(__xludf.DUMMYFUNCTION("ARRAY_CONSTRAIN(ARRAYFORMULA(SINGLE(TEXTJOIN(""_"",TRUE,D929,G929))), 1, 1)"),"Morse Charitable Foundation_2016")</f>
        <v>Morse Charitable Foundation_2016</v>
      </c>
      <c r="D929" s="4" t="s">
        <v>77</v>
      </c>
      <c r="E929" s="8" t="s">
        <v>46</v>
      </c>
      <c r="F929" s="6">
        <v>10000</v>
      </c>
      <c r="G929" s="4">
        <v>2016</v>
      </c>
      <c r="H929" s="4" t="s">
        <v>361</v>
      </c>
    </row>
    <row r="930" spans="1:8" ht="15.75" customHeight="1" x14ac:dyDescent="0.2">
      <c r="A930" s="5" t="s">
        <v>624</v>
      </c>
      <c r="B930" s="4" t="str">
        <f t="shared" si="3"/>
        <v>Morse Charitable Foundation_State Policy Network201510000</v>
      </c>
      <c r="C930" s="4" t="str">
        <f ca="1">IFERROR(__xludf.DUMMYFUNCTION("ARRAY_CONSTRAIN(ARRAYFORMULA(SINGLE(TEXTJOIN(""_"",TRUE,D930,G930))), 1, 1)"),"Morse Charitable Foundation_2015")</f>
        <v>Morse Charitable Foundation_2015</v>
      </c>
      <c r="D930" s="4" t="s">
        <v>77</v>
      </c>
      <c r="E930" s="8" t="s">
        <v>46</v>
      </c>
      <c r="F930" s="6">
        <v>10000</v>
      </c>
      <c r="G930" s="4">
        <v>2015</v>
      </c>
      <c r="H930" s="4" t="s">
        <v>361</v>
      </c>
    </row>
    <row r="931" spans="1:8" ht="15.75" customHeight="1" x14ac:dyDescent="0.2">
      <c r="A931" s="5" t="s">
        <v>625</v>
      </c>
      <c r="B931" s="4" t="str">
        <f t="shared" si="3"/>
        <v>Morse Charitable Foundation_State Policy Network20135000</v>
      </c>
      <c r="C931" s="4" t="str">
        <f ca="1">IFERROR(__xludf.DUMMYFUNCTION("ARRAY_CONSTRAIN(ARRAYFORMULA(SINGLE(TEXTJOIN(""_"",TRUE,D931,G931))), 1, 1)"),"Morse Charitable Foundation_2013")</f>
        <v>Morse Charitable Foundation_2013</v>
      </c>
      <c r="D931" s="4" t="s">
        <v>77</v>
      </c>
      <c r="E931" s="8" t="s">
        <v>46</v>
      </c>
      <c r="F931" s="6">
        <v>5000</v>
      </c>
      <c r="G931" s="4">
        <v>2013</v>
      </c>
      <c r="H931" s="4" t="s">
        <v>361</v>
      </c>
    </row>
    <row r="932" spans="1:8" ht="15.75" customHeight="1" x14ac:dyDescent="0.2">
      <c r="A932" s="4">
        <v>990</v>
      </c>
      <c r="B932" s="4" t="str">
        <f t="shared" si="3"/>
        <v>MyWireless.org_State Policy Network201710000</v>
      </c>
      <c r="C932" s="4" t="str">
        <f ca="1">IFERROR(__xludf.DUMMYFUNCTION("ARRAY_CONSTRAIN(ARRAYFORMULA(SINGLE(TEXTJOIN(""_"",TRUE,D932,G932))), 1, 1)"),"MyWireless.org_2017")</f>
        <v>MyWireless.org_2017</v>
      </c>
      <c r="D932" s="4" t="s">
        <v>126</v>
      </c>
      <c r="E932" s="8" t="s">
        <v>46</v>
      </c>
      <c r="F932" s="6">
        <v>10000</v>
      </c>
      <c r="G932" s="4">
        <v>2017</v>
      </c>
      <c r="H932" s="4" t="s">
        <v>361</v>
      </c>
    </row>
    <row r="933" spans="1:8" ht="15.75" customHeight="1" x14ac:dyDescent="0.2">
      <c r="A933" s="4">
        <v>990</v>
      </c>
      <c r="B933" s="4" t="str">
        <f t="shared" si="3"/>
        <v>National Center for Housing Management_State Policy Network201910000</v>
      </c>
      <c r="C933" s="4" t="str">
        <f ca="1">IFERROR(__xludf.DUMMYFUNCTION("ARRAY_CONSTRAIN(ARRAYFORMULA(SINGLE(TEXTJOIN(""_"",TRUE,D933,G933))), 1, 1)"),"National Center for Housing Management_2019")</f>
        <v>National Center for Housing Management_2019</v>
      </c>
      <c r="D933" s="4" t="s">
        <v>125</v>
      </c>
      <c r="E933" s="8" t="s">
        <v>46</v>
      </c>
      <c r="F933" s="6">
        <v>10000</v>
      </c>
      <c r="G933" s="4">
        <v>2019</v>
      </c>
      <c r="H933" s="4" t="s">
        <v>361</v>
      </c>
    </row>
    <row r="934" spans="1:8" ht="15.75" customHeight="1" x14ac:dyDescent="0.2">
      <c r="A934" s="5" t="s">
        <v>626</v>
      </c>
      <c r="B934" s="4" t="str">
        <f t="shared" si="3"/>
        <v>National Christian Charitable Foundation_State Policy Network202177350</v>
      </c>
      <c r="C934" s="4" t="str">
        <f ca="1">IFERROR(__xludf.DUMMYFUNCTION("ARRAY_CONSTRAIN(ARRAYFORMULA(SINGLE(TEXTJOIN(""_"",TRUE,D934,G934))), 1, 1)"),"National Christian Charitable Foundation_2021")</f>
        <v>National Christian Charitable Foundation_2021</v>
      </c>
      <c r="D934" s="4" t="s">
        <v>31</v>
      </c>
      <c r="E934" s="8" t="s">
        <v>46</v>
      </c>
      <c r="F934" s="6">
        <v>77350</v>
      </c>
      <c r="G934" s="4">
        <v>2021</v>
      </c>
      <c r="H934" s="4" t="s">
        <v>361</v>
      </c>
    </row>
    <row r="935" spans="1:8" ht="15.75" customHeight="1" x14ac:dyDescent="0.2">
      <c r="A935" s="5" t="s">
        <v>627</v>
      </c>
      <c r="B935" s="4" t="str">
        <f t="shared" si="3"/>
        <v>National Christian Charitable Foundation_State Policy Network202039500</v>
      </c>
      <c r="C935" s="4" t="str">
        <f ca="1">IFERROR(__xludf.DUMMYFUNCTION("ARRAY_CONSTRAIN(ARRAYFORMULA(SINGLE(TEXTJOIN(""_"",TRUE,D935,G935))), 1, 1)"),"National Christian Charitable Foundation_2020")</f>
        <v>National Christian Charitable Foundation_2020</v>
      </c>
      <c r="D935" s="4" t="s">
        <v>31</v>
      </c>
      <c r="E935" s="8" t="s">
        <v>46</v>
      </c>
      <c r="F935" s="6">
        <v>39500</v>
      </c>
      <c r="G935" s="4">
        <v>2020</v>
      </c>
      <c r="H935" s="4" t="s">
        <v>361</v>
      </c>
    </row>
    <row r="936" spans="1:8" ht="15.75" customHeight="1" x14ac:dyDescent="0.2">
      <c r="A936" s="5" t="s">
        <v>628</v>
      </c>
      <c r="B936" s="4" t="str">
        <f t="shared" si="3"/>
        <v>National Christian Charitable Foundation_State Policy Network201967100</v>
      </c>
      <c r="C936" s="4" t="str">
        <f ca="1">IFERROR(__xludf.DUMMYFUNCTION("ARRAY_CONSTRAIN(ARRAYFORMULA(SINGLE(TEXTJOIN(""_"",TRUE,D936,G936))), 1, 1)"),"National Christian Charitable Foundation_2019")</f>
        <v>National Christian Charitable Foundation_2019</v>
      </c>
      <c r="D936" s="4" t="s">
        <v>31</v>
      </c>
      <c r="E936" s="8" t="s">
        <v>46</v>
      </c>
      <c r="F936" s="6">
        <v>67100</v>
      </c>
      <c r="G936" s="4">
        <v>2019</v>
      </c>
      <c r="H936" s="4" t="s">
        <v>361</v>
      </c>
    </row>
    <row r="937" spans="1:8" ht="15.75" customHeight="1" x14ac:dyDescent="0.2">
      <c r="A937" s="5" t="s">
        <v>629</v>
      </c>
      <c r="B937" s="4" t="str">
        <f t="shared" si="3"/>
        <v>National Christian Charitable Foundation_State Policy Network2018131050</v>
      </c>
      <c r="C937" s="4" t="str">
        <f ca="1">IFERROR(__xludf.DUMMYFUNCTION("ARRAY_CONSTRAIN(ARRAYFORMULA(SINGLE(TEXTJOIN(""_"",TRUE,D937,G937))), 1, 1)"),"National Christian Charitable Foundation_2018")</f>
        <v>National Christian Charitable Foundation_2018</v>
      </c>
      <c r="D937" s="4" t="s">
        <v>31</v>
      </c>
      <c r="E937" s="8" t="s">
        <v>46</v>
      </c>
      <c r="F937" s="6">
        <v>131050</v>
      </c>
      <c r="G937" s="4">
        <v>2018</v>
      </c>
      <c r="H937" s="4" t="s">
        <v>361</v>
      </c>
    </row>
    <row r="938" spans="1:8" ht="15.75" customHeight="1" x14ac:dyDescent="0.2">
      <c r="A938" s="5" t="s">
        <v>630</v>
      </c>
      <c r="B938" s="4" t="str">
        <f t="shared" si="3"/>
        <v>National Christian Charitable Foundation_State Policy Network201718700</v>
      </c>
      <c r="C938" s="4" t="str">
        <f ca="1">IFERROR(__xludf.DUMMYFUNCTION("ARRAY_CONSTRAIN(ARRAYFORMULA(SINGLE(TEXTJOIN(""_"",TRUE,D938,G938))), 1, 1)"),"National Christian Charitable Foundation_2017")</f>
        <v>National Christian Charitable Foundation_2017</v>
      </c>
      <c r="D938" s="4" t="s">
        <v>31</v>
      </c>
      <c r="E938" s="8" t="s">
        <v>46</v>
      </c>
      <c r="F938" s="6">
        <v>18700</v>
      </c>
      <c r="G938" s="4">
        <v>2017</v>
      </c>
      <c r="H938" s="4" t="s">
        <v>361</v>
      </c>
    </row>
    <row r="939" spans="1:8" ht="15.75" customHeight="1" x14ac:dyDescent="0.2">
      <c r="A939" s="5" t="s">
        <v>631</v>
      </c>
      <c r="B939" s="4" t="str">
        <f t="shared" si="3"/>
        <v>National Christian Charitable Foundation_State Policy Network201615750</v>
      </c>
      <c r="C939" s="4" t="str">
        <f ca="1">IFERROR(__xludf.DUMMYFUNCTION("ARRAY_CONSTRAIN(ARRAYFORMULA(SINGLE(TEXTJOIN(""_"",TRUE,D939,G939))), 1, 1)"),"National Christian Charitable Foundation_2016")</f>
        <v>National Christian Charitable Foundation_2016</v>
      </c>
      <c r="D939" s="4" t="s">
        <v>31</v>
      </c>
      <c r="E939" s="8" t="s">
        <v>46</v>
      </c>
      <c r="F939" s="6">
        <v>15750</v>
      </c>
      <c r="G939" s="4">
        <v>2016</v>
      </c>
      <c r="H939" s="4" t="s">
        <v>361</v>
      </c>
    </row>
    <row r="940" spans="1:8" ht="15.75" customHeight="1" x14ac:dyDescent="0.2">
      <c r="A940" s="4">
        <v>990</v>
      </c>
      <c r="B940" s="4" t="str">
        <f t="shared" si="3"/>
        <v>National Christian Charitable Foundation_State Policy Network2015300</v>
      </c>
      <c r="C940" s="4" t="str">
        <f ca="1">IFERROR(__xludf.DUMMYFUNCTION("ARRAY_CONSTRAIN(ARRAYFORMULA(SINGLE(TEXTJOIN(""_"",TRUE,D940,G940))), 1, 1)"),"National Christian Charitable Foundation_2015")</f>
        <v>National Christian Charitable Foundation_2015</v>
      </c>
      <c r="D940" s="4" t="s">
        <v>31</v>
      </c>
      <c r="E940" s="8" t="s">
        <v>46</v>
      </c>
      <c r="F940" s="6">
        <v>300</v>
      </c>
      <c r="G940" s="4">
        <v>2015</v>
      </c>
      <c r="H940" s="4" t="s">
        <v>361</v>
      </c>
    </row>
    <row r="941" spans="1:8" ht="15.75" customHeight="1" x14ac:dyDescent="0.2">
      <c r="A941" s="4" t="s">
        <v>368</v>
      </c>
      <c r="B941" s="4" t="str">
        <f t="shared" si="3"/>
        <v>National Christian Charitable Foundation_State Policy Network20123500</v>
      </c>
      <c r="C941" s="4" t="str">
        <f ca="1">IFERROR(__xludf.DUMMYFUNCTION("ARRAY_CONSTRAIN(ARRAYFORMULA(SINGLE(TEXTJOIN(""_"",TRUE,D941,G941))), 1, 1)"),"National Christian Charitable Foundation_2012")</f>
        <v>National Christian Charitable Foundation_2012</v>
      </c>
      <c r="D941" s="4" t="s">
        <v>31</v>
      </c>
      <c r="E941" s="8" t="s">
        <v>46</v>
      </c>
      <c r="F941" s="6">
        <v>3500</v>
      </c>
      <c r="G941" s="4">
        <v>2012</v>
      </c>
    </row>
    <row r="942" spans="1:8" ht="15.75" customHeight="1" x14ac:dyDescent="0.2">
      <c r="A942" s="4">
        <v>990</v>
      </c>
      <c r="B942" s="4" t="str">
        <f t="shared" si="3"/>
        <v>National Christian Charitable Foundation_State Policy Network2010100</v>
      </c>
      <c r="C942" s="4" t="str">
        <f ca="1">IFERROR(__xludf.DUMMYFUNCTION("ARRAY_CONSTRAIN(ARRAYFORMULA(SINGLE(TEXTJOIN(""_"",TRUE,D942,G942))), 1, 1)"),"National Christian Charitable Foundation_2010")</f>
        <v>National Christian Charitable Foundation_2010</v>
      </c>
      <c r="D942" s="4" t="s">
        <v>31</v>
      </c>
      <c r="E942" s="8" t="s">
        <v>46</v>
      </c>
      <c r="F942" s="6">
        <v>100</v>
      </c>
      <c r="G942" s="4">
        <v>2010</v>
      </c>
      <c r="H942" s="4" t="s">
        <v>361</v>
      </c>
    </row>
    <row r="943" spans="1:8" ht="15.75" customHeight="1" x14ac:dyDescent="0.2">
      <c r="A943" s="4">
        <v>990</v>
      </c>
      <c r="B943" s="4" t="str">
        <f t="shared" si="3"/>
        <v>National Christian Charitable Foundation_State Policy Network2008300</v>
      </c>
      <c r="C943" s="4" t="str">
        <f ca="1">IFERROR(__xludf.DUMMYFUNCTION("ARRAY_CONSTRAIN(ARRAYFORMULA(SINGLE(TEXTJOIN(""_"",TRUE,D943,G943))), 1, 1)"),"National Christian Charitable Foundation_2008")</f>
        <v>National Christian Charitable Foundation_2008</v>
      </c>
      <c r="D943" s="4" t="s">
        <v>31</v>
      </c>
      <c r="E943" s="8" t="s">
        <v>46</v>
      </c>
      <c r="F943" s="6">
        <v>300</v>
      </c>
      <c r="G943" s="4">
        <v>2008</v>
      </c>
      <c r="H943" s="4" t="s">
        <v>361</v>
      </c>
    </row>
    <row r="944" spans="1:8" ht="15.75" customHeight="1" x14ac:dyDescent="0.2">
      <c r="A944" s="5" t="s">
        <v>632</v>
      </c>
      <c r="B944" s="4" t="str">
        <f t="shared" si="3"/>
        <v>National Philanthropic Trust_State Policy Network2022103000</v>
      </c>
      <c r="C944" s="4" t="str">
        <f ca="1">IFERROR(__xludf.DUMMYFUNCTION("ARRAY_CONSTRAIN(ARRAYFORMULA(SINGLE(TEXTJOIN(""_"",TRUE,D944,G944))), 1, 1)"),"National Philanthropic Trust_2022")</f>
        <v>National Philanthropic Trust_2022</v>
      </c>
      <c r="D944" s="4" t="s">
        <v>27</v>
      </c>
      <c r="E944" s="8" t="s">
        <v>46</v>
      </c>
      <c r="F944" s="6">
        <v>103000</v>
      </c>
      <c r="G944" s="4">
        <v>2022</v>
      </c>
      <c r="H944" s="4" t="s">
        <v>361</v>
      </c>
    </row>
    <row r="945" spans="1:8" ht="15.75" customHeight="1" x14ac:dyDescent="0.2">
      <c r="A945" s="5" t="s">
        <v>633</v>
      </c>
      <c r="B945" s="4" t="str">
        <f t="shared" si="3"/>
        <v>National Philanthropic Trust_State Policy Network2021101500</v>
      </c>
      <c r="C945" s="4" t="str">
        <f ca="1">IFERROR(__xludf.DUMMYFUNCTION("ARRAY_CONSTRAIN(ARRAYFORMULA(SINGLE(TEXTJOIN(""_"",TRUE,D945,G945))), 1, 1)"),"National Philanthropic Trust_2021")</f>
        <v>National Philanthropic Trust_2021</v>
      </c>
      <c r="D945" s="4" t="s">
        <v>27</v>
      </c>
      <c r="E945" s="8" t="s">
        <v>46</v>
      </c>
      <c r="F945" s="6">
        <v>101500</v>
      </c>
      <c r="G945" s="4">
        <v>2021</v>
      </c>
      <c r="H945" s="4" t="s">
        <v>361</v>
      </c>
    </row>
    <row r="946" spans="1:8" ht="15.75" customHeight="1" x14ac:dyDescent="0.2">
      <c r="A946" s="5" t="s">
        <v>634</v>
      </c>
      <c r="B946" s="4" t="str">
        <f t="shared" si="3"/>
        <v>National Philanthropic Trust_State Policy Network202070500</v>
      </c>
      <c r="C946" s="4" t="str">
        <f ca="1">IFERROR(__xludf.DUMMYFUNCTION("ARRAY_CONSTRAIN(ARRAYFORMULA(SINGLE(TEXTJOIN(""_"",TRUE,D946,G946))), 1, 1)"),"National Philanthropic Trust_2020")</f>
        <v>National Philanthropic Trust_2020</v>
      </c>
      <c r="D946" s="4" t="s">
        <v>27</v>
      </c>
      <c r="E946" s="8" t="s">
        <v>46</v>
      </c>
      <c r="F946" s="6">
        <v>70500</v>
      </c>
      <c r="G946" s="4">
        <v>2020</v>
      </c>
      <c r="H946" s="4" t="s">
        <v>361</v>
      </c>
    </row>
    <row r="947" spans="1:8" ht="15.75" customHeight="1" x14ac:dyDescent="0.2">
      <c r="A947" s="5" t="s">
        <v>635</v>
      </c>
      <c r="B947" s="4" t="str">
        <f t="shared" si="3"/>
        <v>National Philanthropic Trust_State Policy Network201960000</v>
      </c>
      <c r="C947" s="4" t="str">
        <f ca="1">IFERROR(__xludf.DUMMYFUNCTION("ARRAY_CONSTRAIN(ARRAYFORMULA(SINGLE(TEXTJOIN(""_"",TRUE,D947,G947))), 1, 1)"),"National Philanthropic Trust_2019")</f>
        <v>National Philanthropic Trust_2019</v>
      </c>
      <c r="D947" s="4" t="s">
        <v>27</v>
      </c>
      <c r="E947" s="8" t="s">
        <v>46</v>
      </c>
      <c r="F947" s="6">
        <v>60000</v>
      </c>
      <c r="G947" s="4">
        <v>2019</v>
      </c>
      <c r="H947" s="4" t="s">
        <v>361</v>
      </c>
    </row>
    <row r="948" spans="1:8" ht="15.75" customHeight="1" x14ac:dyDescent="0.2">
      <c r="A948" s="5" t="s">
        <v>636</v>
      </c>
      <c r="B948" s="4" t="str">
        <f t="shared" si="3"/>
        <v>National Philanthropic Trust_State Policy Network201740000</v>
      </c>
      <c r="C948" s="4" t="str">
        <f ca="1">IFERROR(__xludf.DUMMYFUNCTION("ARRAY_CONSTRAIN(ARRAYFORMULA(SINGLE(TEXTJOIN(""_"",TRUE,D948,G948))), 1, 1)"),"National Philanthropic Trust_2017")</f>
        <v>National Philanthropic Trust_2017</v>
      </c>
      <c r="D948" s="4" t="s">
        <v>27</v>
      </c>
      <c r="E948" s="8" t="s">
        <v>46</v>
      </c>
      <c r="F948" s="6">
        <v>40000</v>
      </c>
      <c r="G948" s="4">
        <v>2017</v>
      </c>
      <c r="H948" s="4" t="s">
        <v>361</v>
      </c>
    </row>
    <row r="949" spans="1:8" ht="15.75" customHeight="1" x14ac:dyDescent="0.2">
      <c r="A949" s="5" t="s">
        <v>637</v>
      </c>
      <c r="B949" s="4" t="str">
        <f t="shared" si="3"/>
        <v>Ncta the Internet &amp; Television Association_State Policy Network201715000</v>
      </c>
      <c r="C949" s="4" t="str">
        <f ca="1">IFERROR(__xludf.DUMMYFUNCTION("ARRAY_CONSTRAIN(ARRAYFORMULA(SINGLE(TEXTJOIN(""_"",TRUE,D949,G949))), 1, 1)"),"Ncta the Internet &amp; Television Association_2017")</f>
        <v>Ncta the Internet &amp; Television Association_2017</v>
      </c>
      <c r="D949" s="4" t="s">
        <v>61</v>
      </c>
      <c r="E949" s="8" t="s">
        <v>46</v>
      </c>
      <c r="F949" s="6">
        <v>15000</v>
      </c>
      <c r="G949" s="4">
        <v>2017</v>
      </c>
      <c r="H949" s="4" t="s">
        <v>361</v>
      </c>
    </row>
    <row r="950" spans="1:8" ht="15.75" customHeight="1" x14ac:dyDescent="0.2">
      <c r="A950" s="5" t="s">
        <v>638</v>
      </c>
      <c r="B950" s="4" t="str">
        <f t="shared" si="3"/>
        <v>Ncta the Internet &amp; Television Association_State Policy Network201515000</v>
      </c>
      <c r="C950" s="4" t="str">
        <f ca="1">IFERROR(__xludf.DUMMYFUNCTION("ARRAY_CONSTRAIN(ARRAYFORMULA(SINGLE(TEXTJOIN(""_"",TRUE,D950,G950))), 1, 1)"),"Ncta the Internet &amp; Television Association_2015")</f>
        <v>Ncta the Internet &amp; Television Association_2015</v>
      </c>
      <c r="D950" s="4" t="s">
        <v>61</v>
      </c>
      <c r="E950" s="8" t="s">
        <v>46</v>
      </c>
      <c r="F950" s="6">
        <v>15000</v>
      </c>
      <c r="G950" s="4">
        <v>2015</v>
      </c>
      <c r="H950" s="4" t="s">
        <v>361</v>
      </c>
    </row>
    <row r="951" spans="1:8" ht="15.75" customHeight="1" x14ac:dyDescent="0.2">
      <c r="A951" s="5" t="s">
        <v>639</v>
      </c>
      <c r="B951" s="4" t="str">
        <f t="shared" si="3"/>
        <v>Ncta the Internet &amp; Television Association_State Policy Network201415000</v>
      </c>
      <c r="C951" s="4" t="str">
        <f ca="1">IFERROR(__xludf.DUMMYFUNCTION("ARRAY_CONSTRAIN(ARRAYFORMULA(SINGLE(TEXTJOIN(""_"",TRUE,D951,G951))), 1, 1)"),"Ncta the Internet &amp; Television Association_2014")</f>
        <v>Ncta the Internet &amp; Television Association_2014</v>
      </c>
      <c r="D951" s="4" t="s">
        <v>61</v>
      </c>
      <c r="E951" s="8" t="s">
        <v>46</v>
      </c>
      <c r="F951" s="6">
        <v>15000</v>
      </c>
      <c r="G951" s="4">
        <v>2014</v>
      </c>
      <c r="H951" s="4" t="s">
        <v>361</v>
      </c>
    </row>
    <row r="952" spans="1:8" ht="15.75" customHeight="1" x14ac:dyDescent="0.2">
      <c r="A952" s="5" t="s">
        <v>640</v>
      </c>
      <c r="B952" s="4" t="str">
        <f t="shared" si="3"/>
        <v>Ncta the Internet &amp; Television Association_State Policy Network201315000</v>
      </c>
      <c r="C952" s="4" t="str">
        <f ca="1">IFERROR(__xludf.DUMMYFUNCTION("ARRAY_CONSTRAIN(ARRAYFORMULA(SINGLE(TEXTJOIN(""_"",TRUE,D952,G952))), 1, 1)"),"Ncta the Internet &amp; Television Association_2013")</f>
        <v>Ncta the Internet &amp; Television Association_2013</v>
      </c>
      <c r="D952" s="4" t="s">
        <v>61</v>
      </c>
      <c r="E952" s="8" t="s">
        <v>46</v>
      </c>
      <c r="F952" s="6">
        <v>15000</v>
      </c>
      <c r="G952" s="4">
        <v>2013</v>
      </c>
      <c r="H952" s="4" t="s">
        <v>361</v>
      </c>
    </row>
    <row r="953" spans="1:8" ht="15.75" customHeight="1" x14ac:dyDescent="0.2">
      <c r="A953" s="5" t="s">
        <v>641</v>
      </c>
      <c r="B953" s="4" t="str">
        <f t="shared" si="3"/>
        <v>Ncta the Internet &amp; Television Association_State Policy Network201215000</v>
      </c>
      <c r="C953" s="4" t="str">
        <f ca="1">IFERROR(__xludf.DUMMYFUNCTION("ARRAY_CONSTRAIN(ARRAYFORMULA(SINGLE(TEXTJOIN(""_"",TRUE,D953,G953))), 1, 1)"),"Ncta the Internet &amp; Television Association_2012")</f>
        <v>Ncta the Internet &amp; Television Association_2012</v>
      </c>
      <c r="D953" s="4" t="s">
        <v>61</v>
      </c>
      <c r="E953" s="8" t="s">
        <v>46</v>
      </c>
      <c r="F953" s="6">
        <v>15000</v>
      </c>
      <c r="G953" s="4">
        <v>2012</v>
      </c>
      <c r="H953" s="4" t="s">
        <v>361</v>
      </c>
    </row>
    <row r="954" spans="1:8" ht="15.75" customHeight="1" x14ac:dyDescent="0.2">
      <c r="A954" s="5" t="s">
        <v>642</v>
      </c>
      <c r="B954" s="4" t="str">
        <f t="shared" si="3"/>
        <v>Neal and Marlene Goldman Foundation_State Policy Network20215000</v>
      </c>
      <c r="C954" s="4" t="str">
        <f ca="1">IFERROR(__xludf.DUMMYFUNCTION("ARRAY_CONSTRAIN(ARRAYFORMULA(SINGLE(TEXTJOIN(""_"",TRUE,D954,G954))), 1, 1)"),"Neal and Marlene Goldman Foundation_2021")</f>
        <v>Neal and Marlene Goldman Foundation_2021</v>
      </c>
      <c r="D954" s="4" t="s">
        <v>151</v>
      </c>
      <c r="E954" s="8" t="s">
        <v>46</v>
      </c>
      <c r="F954" s="6">
        <v>5000</v>
      </c>
      <c r="G954" s="4">
        <v>2021</v>
      </c>
      <c r="H954" s="4" t="s">
        <v>361</v>
      </c>
    </row>
    <row r="955" spans="1:8" ht="15.75" customHeight="1" x14ac:dyDescent="0.2">
      <c r="A955" s="5" t="s">
        <v>643</v>
      </c>
      <c r="B955" s="4" t="str">
        <f t="shared" si="3"/>
        <v>New Hope Foundation_State Policy Network20181000</v>
      </c>
      <c r="C955" s="4" t="str">
        <f ca="1">IFERROR(__xludf.DUMMYFUNCTION("ARRAY_CONSTRAIN(ARRAYFORMULA(SINGLE(TEXTJOIN(""_"",TRUE,D955,G955))), 1, 1)"),"New Hope Foundation_2018")</f>
        <v>New Hope Foundation_2018</v>
      </c>
      <c r="D955" s="4" t="s">
        <v>101</v>
      </c>
      <c r="E955" s="8" t="s">
        <v>46</v>
      </c>
      <c r="F955" s="6">
        <v>1000</v>
      </c>
      <c r="G955" s="4">
        <v>2018</v>
      </c>
      <c r="H955" s="4" t="s">
        <v>361</v>
      </c>
    </row>
    <row r="956" spans="1:8" ht="15.75" customHeight="1" x14ac:dyDescent="0.2">
      <c r="A956" s="5" t="s">
        <v>644</v>
      </c>
      <c r="B956" s="4" t="str">
        <f t="shared" si="3"/>
        <v>New Hope Foundation_State Policy Network20121000</v>
      </c>
      <c r="C956" s="4" t="str">
        <f ca="1">IFERROR(__xludf.DUMMYFUNCTION("ARRAY_CONSTRAIN(ARRAYFORMULA(SINGLE(TEXTJOIN(""_"",TRUE,D956,G956))), 1, 1)"),"New Hope Foundation_2012")</f>
        <v>New Hope Foundation_2012</v>
      </c>
      <c r="D956" s="4" t="s">
        <v>101</v>
      </c>
      <c r="E956" s="8" t="s">
        <v>46</v>
      </c>
      <c r="F956" s="6">
        <v>1000</v>
      </c>
      <c r="G956" s="4">
        <v>2012</v>
      </c>
      <c r="H956" s="4" t="s">
        <v>361</v>
      </c>
    </row>
    <row r="957" spans="1:8" ht="15.75" customHeight="1" x14ac:dyDescent="0.2">
      <c r="A957" s="5" t="s">
        <v>645</v>
      </c>
      <c r="B957" s="4" t="str">
        <f t="shared" si="3"/>
        <v>New Hope Foundation_State Policy Network20111000</v>
      </c>
      <c r="C957" s="4" t="str">
        <f ca="1">IFERROR(__xludf.DUMMYFUNCTION("ARRAY_CONSTRAIN(ARRAYFORMULA(SINGLE(TEXTJOIN(""_"",TRUE,D957,G957))), 1, 1)"),"New Hope Foundation_2011")</f>
        <v>New Hope Foundation_2011</v>
      </c>
      <c r="D957" s="4" t="s">
        <v>101</v>
      </c>
      <c r="E957" s="8" t="s">
        <v>46</v>
      </c>
      <c r="F957" s="6">
        <v>1000</v>
      </c>
      <c r="G957" s="4">
        <v>2011</v>
      </c>
      <c r="H957" s="4" t="s">
        <v>361</v>
      </c>
    </row>
    <row r="958" spans="1:8" ht="15.75" customHeight="1" x14ac:dyDescent="0.2">
      <c r="A958" s="5" t="s">
        <v>646</v>
      </c>
      <c r="B958" s="4" t="str">
        <f t="shared" si="3"/>
        <v>New Hope Foundation_State Policy Network20101000</v>
      </c>
      <c r="C958" s="4" t="str">
        <f ca="1">IFERROR(__xludf.DUMMYFUNCTION("ARRAY_CONSTRAIN(ARRAYFORMULA(SINGLE(TEXTJOIN(""_"",TRUE,D958,G958))), 1, 1)"),"New Hope Foundation_2010")</f>
        <v>New Hope Foundation_2010</v>
      </c>
      <c r="D958" s="4" t="s">
        <v>101</v>
      </c>
      <c r="E958" s="8" t="s">
        <v>46</v>
      </c>
      <c r="F958" s="6">
        <v>1000</v>
      </c>
      <c r="G958" s="4">
        <v>2010</v>
      </c>
      <c r="H958" s="4" t="s">
        <v>361</v>
      </c>
    </row>
    <row r="959" spans="1:8" ht="15.75" customHeight="1" x14ac:dyDescent="0.2">
      <c r="A959" s="5" t="s">
        <v>647</v>
      </c>
      <c r="B959" s="4" t="str">
        <f t="shared" si="3"/>
        <v>New Hope Foundation_State Policy Network20091000</v>
      </c>
      <c r="C959" s="4" t="str">
        <f ca="1">IFERROR(__xludf.DUMMYFUNCTION("ARRAY_CONSTRAIN(ARRAYFORMULA(SINGLE(TEXTJOIN(""_"",TRUE,D959,G959))), 1, 1)"),"New Hope Foundation_2009")</f>
        <v>New Hope Foundation_2009</v>
      </c>
      <c r="D959" s="4" t="s">
        <v>101</v>
      </c>
      <c r="E959" s="8" t="s">
        <v>46</v>
      </c>
      <c r="F959" s="6">
        <v>1000</v>
      </c>
      <c r="G959" s="4">
        <v>2009</v>
      </c>
      <c r="H959" s="4" t="s">
        <v>361</v>
      </c>
    </row>
    <row r="960" spans="1:8" ht="15.75" customHeight="1" x14ac:dyDescent="0.2">
      <c r="A960" s="5" t="s">
        <v>648</v>
      </c>
      <c r="B960" s="4" t="str">
        <f t="shared" si="3"/>
        <v>New Hope Foundation_State Policy Network20081000</v>
      </c>
      <c r="C960" s="4" t="str">
        <f ca="1">IFERROR(__xludf.DUMMYFUNCTION("ARRAY_CONSTRAIN(ARRAYFORMULA(SINGLE(TEXTJOIN(""_"",TRUE,D960,G960))), 1, 1)"),"New Hope Foundation_2008")</f>
        <v>New Hope Foundation_2008</v>
      </c>
      <c r="D960" s="4" t="s">
        <v>101</v>
      </c>
      <c r="E960" s="8" t="s">
        <v>46</v>
      </c>
      <c r="F960" s="6">
        <v>1000</v>
      </c>
      <c r="G960" s="4">
        <v>2008</v>
      </c>
      <c r="H960" s="4" t="s">
        <v>361</v>
      </c>
    </row>
    <row r="961" spans="1:8" ht="15.75" customHeight="1" x14ac:dyDescent="0.2">
      <c r="A961" s="5" t="s">
        <v>649</v>
      </c>
      <c r="B961" s="4" t="str">
        <f t="shared" si="3"/>
        <v>New Hope Foundation_State Policy Network20072000</v>
      </c>
      <c r="C961" s="4" t="str">
        <f ca="1">IFERROR(__xludf.DUMMYFUNCTION("ARRAY_CONSTRAIN(ARRAYFORMULA(SINGLE(TEXTJOIN(""_"",TRUE,D961,G961))), 1, 1)"),"New Hope Foundation_2007")</f>
        <v>New Hope Foundation_2007</v>
      </c>
      <c r="D961" s="4" t="s">
        <v>101</v>
      </c>
      <c r="E961" s="8" t="s">
        <v>46</v>
      </c>
      <c r="F961" s="6">
        <v>2000</v>
      </c>
      <c r="G961" s="4">
        <v>2007</v>
      </c>
      <c r="H961" s="4" t="s">
        <v>361</v>
      </c>
    </row>
    <row r="962" spans="1:8" ht="15.75" customHeight="1" x14ac:dyDescent="0.2">
      <c r="A962" s="5" t="s">
        <v>650</v>
      </c>
      <c r="B962" s="4" t="str">
        <f t="shared" si="3"/>
        <v>New Hope Foundation_State Policy Network20062000</v>
      </c>
      <c r="C962" s="4" t="str">
        <f ca="1">IFERROR(__xludf.DUMMYFUNCTION("ARRAY_CONSTRAIN(ARRAYFORMULA(SINGLE(TEXTJOIN(""_"",TRUE,D962,G962))), 1, 1)"),"New Hope Foundation_2006")</f>
        <v>New Hope Foundation_2006</v>
      </c>
      <c r="D962" s="4" t="s">
        <v>101</v>
      </c>
      <c r="E962" s="8" t="s">
        <v>46</v>
      </c>
      <c r="F962" s="6">
        <v>2000</v>
      </c>
      <c r="G962" s="4">
        <v>2006</v>
      </c>
      <c r="H962" s="4" t="s">
        <v>361</v>
      </c>
    </row>
    <row r="963" spans="1:8" ht="15.75" customHeight="1" x14ac:dyDescent="0.2">
      <c r="A963" s="5" t="s">
        <v>651</v>
      </c>
      <c r="B963" s="4" t="str">
        <f t="shared" si="3"/>
        <v>New Hope Foundation_State Policy Network20051000</v>
      </c>
      <c r="C963" s="4" t="str">
        <f ca="1">IFERROR(__xludf.DUMMYFUNCTION("ARRAY_CONSTRAIN(ARRAYFORMULA(SINGLE(TEXTJOIN(""_"",TRUE,D963,G963))), 1, 1)"),"New Hope Foundation_2005")</f>
        <v>New Hope Foundation_2005</v>
      </c>
      <c r="D963" s="4" t="s">
        <v>101</v>
      </c>
      <c r="E963" s="8" t="s">
        <v>46</v>
      </c>
      <c r="F963" s="6">
        <v>1000</v>
      </c>
      <c r="G963" s="4">
        <v>2005</v>
      </c>
      <c r="H963" s="4" t="s">
        <v>361</v>
      </c>
    </row>
    <row r="964" spans="1:8" ht="15.75" customHeight="1" x14ac:dyDescent="0.2">
      <c r="A964" s="5" t="s">
        <v>652</v>
      </c>
      <c r="B964" s="4" t="str">
        <f t="shared" si="3"/>
        <v>New Hope Foundation_State Policy Network20041000</v>
      </c>
      <c r="C964" s="4" t="str">
        <f ca="1">IFERROR(__xludf.DUMMYFUNCTION("ARRAY_CONSTRAIN(ARRAYFORMULA(SINGLE(TEXTJOIN(""_"",TRUE,D964,G964))), 1, 1)"),"New Hope Foundation_2004")</f>
        <v>New Hope Foundation_2004</v>
      </c>
      <c r="D964" s="4" t="s">
        <v>101</v>
      </c>
      <c r="E964" s="8" t="s">
        <v>46</v>
      </c>
      <c r="F964" s="6">
        <v>1000</v>
      </c>
      <c r="G964" s="4">
        <v>2004</v>
      </c>
      <c r="H964" s="4" t="s">
        <v>361</v>
      </c>
    </row>
    <row r="965" spans="1:8" ht="15.75" customHeight="1" x14ac:dyDescent="0.2">
      <c r="A965" s="5" t="s">
        <v>653</v>
      </c>
      <c r="B965" s="4" t="str">
        <f t="shared" si="3"/>
        <v>New Hope Foundation_State Policy Network20031000</v>
      </c>
      <c r="C965" s="4" t="str">
        <f ca="1">IFERROR(__xludf.DUMMYFUNCTION("ARRAY_CONSTRAIN(ARRAYFORMULA(SINGLE(TEXTJOIN(""_"",TRUE,D965,G965))), 1, 1)"),"New Hope Foundation_2003")</f>
        <v>New Hope Foundation_2003</v>
      </c>
      <c r="D965" s="4" t="s">
        <v>101</v>
      </c>
      <c r="E965" s="8" t="s">
        <v>46</v>
      </c>
      <c r="F965" s="6">
        <v>1000</v>
      </c>
      <c r="G965" s="4">
        <v>2003</v>
      </c>
      <c r="H965" s="4" t="s">
        <v>361</v>
      </c>
    </row>
    <row r="966" spans="1:8" ht="15.75" customHeight="1" x14ac:dyDescent="0.2">
      <c r="A966" s="5" t="s">
        <v>654</v>
      </c>
      <c r="B966" s="4" t="str">
        <f t="shared" si="3"/>
        <v>New Hope Foundation_State Policy Network20023000</v>
      </c>
      <c r="C966" s="4" t="str">
        <f ca="1">IFERROR(__xludf.DUMMYFUNCTION("ARRAY_CONSTRAIN(ARRAYFORMULA(SINGLE(TEXTJOIN(""_"",TRUE,D966,G966))), 1, 1)"),"New Hope Foundation_2002")</f>
        <v>New Hope Foundation_2002</v>
      </c>
      <c r="D966" s="4" t="s">
        <v>101</v>
      </c>
      <c r="E966" s="8" t="s">
        <v>46</v>
      </c>
      <c r="F966" s="6">
        <v>3000</v>
      </c>
      <c r="G966" s="4">
        <v>2002</v>
      </c>
      <c r="H966" s="4" t="s">
        <v>361</v>
      </c>
    </row>
    <row r="967" spans="1:8" ht="15.75" customHeight="1" x14ac:dyDescent="0.2">
      <c r="A967" s="5" t="s">
        <v>655</v>
      </c>
      <c r="B967" s="4" t="str">
        <f t="shared" si="3"/>
        <v>New Hope Foundation_State Policy Network20013000</v>
      </c>
      <c r="C967" s="4" t="str">
        <f ca="1">IFERROR(__xludf.DUMMYFUNCTION("ARRAY_CONSTRAIN(ARRAYFORMULA(SINGLE(TEXTJOIN(""_"",TRUE,D967,G967))), 1, 1)"),"New Hope Foundation_2001")</f>
        <v>New Hope Foundation_2001</v>
      </c>
      <c r="D967" s="4" t="s">
        <v>101</v>
      </c>
      <c r="E967" s="8" t="s">
        <v>46</v>
      </c>
      <c r="F967" s="6">
        <v>3000</v>
      </c>
      <c r="G967" s="4">
        <v>2001</v>
      </c>
      <c r="H967" s="4" t="s">
        <v>361</v>
      </c>
    </row>
    <row r="968" spans="1:8" ht="15.75" customHeight="1" x14ac:dyDescent="0.2">
      <c r="A968" s="5" t="s">
        <v>656</v>
      </c>
      <c r="B968" s="4" t="str">
        <f t="shared" si="3"/>
        <v>Norman I and Sandra Rich Family Charitable Foundation_State Policy Network2017100</v>
      </c>
      <c r="C968" s="4" t="str">
        <f ca="1">IFERROR(__xludf.DUMMYFUNCTION("ARRAY_CONSTRAIN(ARRAYFORMULA(SINGLE(TEXTJOIN(""_"",TRUE,D968,G968))), 1, 1)"),"Norman I and Sandra Rich Family Charitable Foundation_2017")</f>
        <v>Norman I and Sandra Rich Family Charitable Foundation_2017</v>
      </c>
      <c r="D968" s="4" t="s">
        <v>224</v>
      </c>
      <c r="E968" s="8" t="s">
        <v>46</v>
      </c>
      <c r="F968" s="6">
        <v>100</v>
      </c>
      <c r="G968" s="4">
        <v>2017</v>
      </c>
      <c r="H968" s="4" t="s">
        <v>361</v>
      </c>
    </row>
    <row r="969" spans="1:8" ht="15.75" customHeight="1" x14ac:dyDescent="0.2">
      <c r="A969" s="5" t="s">
        <v>657</v>
      </c>
      <c r="B969" s="4" t="str">
        <f t="shared" si="3"/>
        <v>Oda Family Charitable Foundation_State Policy Network20211000</v>
      </c>
      <c r="C969" s="4" t="str">
        <f ca="1">IFERROR(__xludf.DUMMYFUNCTION("ARRAY_CONSTRAIN(ARRAYFORMULA(SINGLE(TEXTJOIN(""_"",TRUE,D969,G969))), 1, 1)"),"Oda Family Charitable Foundation_2021")</f>
        <v>Oda Family Charitable Foundation_2021</v>
      </c>
      <c r="D969" s="4" t="s">
        <v>183</v>
      </c>
      <c r="E969" s="8" t="s">
        <v>46</v>
      </c>
      <c r="F969" s="6">
        <v>1000</v>
      </c>
      <c r="G969" s="4">
        <v>2021</v>
      </c>
      <c r="H969" s="4" t="s">
        <v>361</v>
      </c>
    </row>
    <row r="970" spans="1:8" ht="15.75" customHeight="1" x14ac:dyDescent="0.2">
      <c r="A970" s="5" t="s">
        <v>658</v>
      </c>
      <c r="B970" s="4" t="str">
        <f t="shared" si="3"/>
        <v>Offerdahl Family Foundation_State Policy Network202236000</v>
      </c>
      <c r="C970" s="4" t="str">
        <f ca="1">IFERROR(__xludf.DUMMYFUNCTION("ARRAY_CONSTRAIN(ARRAYFORMULA(SINGLE(TEXTJOIN(""_"",TRUE,D970,G970))), 1, 1)"),"Offerdahl Family Foundation_2022")</f>
        <v>Offerdahl Family Foundation_2022</v>
      </c>
      <c r="D970" s="4" t="s">
        <v>79</v>
      </c>
      <c r="E970" s="8" t="s">
        <v>46</v>
      </c>
      <c r="F970" s="6">
        <v>36000</v>
      </c>
      <c r="G970" s="4">
        <v>2022</v>
      </c>
      <c r="H970" s="4" t="s">
        <v>361</v>
      </c>
    </row>
    <row r="971" spans="1:8" ht="15.75" customHeight="1" x14ac:dyDescent="0.2">
      <c r="A971" s="5" t="s">
        <v>659</v>
      </c>
      <c r="B971" s="4" t="str">
        <f t="shared" si="3"/>
        <v>Offerdahl Family Foundation_State Policy Network20205500</v>
      </c>
      <c r="C971" s="4" t="str">
        <f ca="1">IFERROR(__xludf.DUMMYFUNCTION("ARRAY_CONSTRAIN(ARRAYFORMULA(SINGLE(TEXTJOIN(""_"",TRUE,D971,G971))), 1, 1)"),"Offerdahl Family Foundation_2020")</f>
        <v>Offerdahl Family Foundation_2020</v>
      </c>
      <c r="D971" s="4" t="s">
        <v>79</v>
      </c>
      <c r="E971" s="8" t="s">
        <v>46</v>
      </c>
      <c r="F971" s="6">
        <v>5500</v>
      </c>
      <c r="G971" s="4">
        <v>2020</v>
      </c>
      <c r="H971" s="4" t="s">
        <v>361</v>
      </c>
    </row>
    <row r="972" spans="1:8" ht="15.75" customHeight="1" x14ac:dyDescent="0.2">
      <c r="A972" s="5" t="s">
        <v>660</v>
      </c>
      <c r="B972" s="4" t="str">
        <f t="shared" si="3"/>
        <v>Old Stones Foundation_State Policy Network20191000</v>
      </c>
      <c r="C972" s="4" t="str">
        <f ca="1">IFERROR(__xludf.DUMMYFUNCTION("ARRAY_CONSTRAIN(ARRAYFORMULA(SINGLE(TEXTJOIN(""_"",TRUE,D972,G972))), 1, 1)"),"Old Stones Foundation_2019")</f>
        <v>Old Stones Foundation_2019</v>
      </c>
      <c r="D972" s="4" t="s">
        <v>182</v>
      </c>
      <c r="E972" s="8" t="s">
        <v>46</v>
      </c>
      <c r="F972" s="6">
        <v>1000</v>
      </c>
      <c r="G972" s="4">
        <v>2019</v>
      </c>
      <c r="H972" s="4" t="s">
        <v>361</v>
      </c>
    </row>
    <row r="973" spans="1:8" ht="15.75" customHeight="1" x14ac:dyDescent="0.2">
      <c r="A973" s="4" t="s">
        <v>661</v>
      </c>
      <c r="B973" s="4" t="str">
        <f t="shared" si="3"/>
        <v>Oshay Family Foundation_State Policy Network20201000</v>
      </c>
      <c r="C973" s="4" t="str">
        <f ca="1">IFERROR(__xludf.DUMMYFUNCTION("ARRAY_CONSTRAIN(ARRAYFORMULA(SINGLE(TEXTJOIN(""_"",TRUE,D973,G973))), 1, 1)"),"Oshay Family Foundation_2020")</f>
        <v>Oshay Family Foundation_2020</v>
      </c>
      <c r="D973" s="4" t="s">
        <v>181</v>
      </c>
      <c r="E973" s="8" t="s">
        <v>46</v>
      </c>
      <c r="F973" s="6">
        <v>1000</v>
      </c>
      <c r="G973" s="4">
        <v>2020</v>
      </c>
      <c r="H973" s="4" t="s">
        <v>361</v>
      </c>
    </row>
    <row r="974" spans="1:8" ht="15.75" customHeight="1" x14ac:dyDescent="0.2">
      <c r="A974" s="4" t="s">
        <v>662</v>
      </c>
      <c r="B974" s="4" t="str">
        <f t="shared" si="3"/>
        <v>Oxford Area Foundation_State Policy Network2011500</v>
      </c>
      <c r="C974" s="4" t="str">
        <f ca="1">IFERROR(__xludf.DUMMYFUNCTION("ARRAY_CONSTRAIN(ARRAYFORMULA(SINGLE(TEXTJOIN(""_"",TRUE,D974,G974))), 1, 1)"),"Oxford Area Foundation_2011")</f>
        <v>Oxford Area Foundation_2011</v>
      </c>
      <c r="D974" s="4" t="s">
        <v>197</v>
      </c>
      <c r="E974" s="8" t="s">
        <v>46</v>
      </c>
      <c r="F974" s="6">
        <v>500</v>
      </c>
      <c r="G974" s="4">
        <v>2011</v>
      </c>
      <c r="H974" s="4" t="s">
        <v>361</v>
      </c>
    </row>
    <row r="975" spans="1:8" ht="15.75" customHeight="1" x14ac:dyDescent="0.2">
      <c r="A975" s="4" t="s">
        <v>663</v>
      </c>
      <c r="B975" s="4" t="str">
        <f t="shared" si="3"/>
        <v>Paslaqua Charitable Foundation_State Policy Network2022550</v>
      </c>
      <c r="C975" s="4" t="str">
        <f ca="1">IFERROR(__xludf.DUMMYFUNCTION("ARRAY_CONSTRAIN(ARRAYFORMULA(SINGLE(TEXTJOIN(""_"",TRUE,D975,G975))), 1, 1)"),"Paslaqua Charitable Foundation_2022")</f>
        <v>Paslaqua Charitable Foundation_2022</v>
      </c>
      <c r="D975" s="4" t="s">
        <v>169</v>
      </c>
      <c r="E975" s="8" t="s">
        <v>46</v>
      </c>
      <c r="F975" s="6">
        <v>550</v>
      </c>
      <c r="G975" s="4">
        <v>2022</v>
      </c>
      <c r="H975" s="4" t="s">
        <v>361</v>
      </c>
    </row>
    <row r="976" spans="1:8" ht="15.75" customHeight="1" x14ac:dyDescent="0.2">
      <c r="A976" s="4" t="s">
        <v>664</v>
      </c>
      <c r="B976" s="4" t="str">
        <f t="shared" si="3"/>
        <v>Paslaqua Charitable Foundation_State Policy Network20211000</v>
      </c>
      <c r="C976" s="4" t="str">
        <f ca="1">IFERROR(__xludf.DUMMYFUNCTION("ARRAY_CONSTRAIN(ARRAYFORMULA(SINGLE(TEXTJOIN(""_"",TRUE,D976,G976))), 1, 1)"),"Paslaqua Charitable Foundation_2021")</f>
        <v>Paslaqua Charitable Foundation_2021</v>
      </c>
      <c r="D976" s="4" t="s">
        <v>169</v>
      </c>
      <c r="E976" s="8" t="s">
        <v>46</v>
      </c>
      <c r="F976" s="6">
        <v>1000</v>
      </c>
      <c r="G976" s="4">
        <v>2021</v>
      </c>
      <c r="H976" s="4" t="s">
        <v>361</v>
      </c>
    </row>
    <row r="977" spans="1:8" ht="15.75" customHeight="1" x14ac:dyDescent="0.2">
      <c r="A977" s="4" t="s">
        <v>665</v>
      </c>
      <c r="B977" s="4" t="str">
        <f t="shared" si="3"/>
        <v>Paslaqua Charitable Foundation_State Policy Network2020350</v>
      </c>
      <c r="C977" s="4" t="str">
        <f ca="1">IFERROR(__xludf.DUMMYFUNCTION("ARRAY_CONSTRAIN(ARRAYFORMULA(SINGLE(TEXTJOIN(""_"",TRUE,D977,G977))), 1, 1)"),"Paslaqua Charitable Foundation_2020")</f>
        <v>Paslaqua Charitable Foundation_2020</v>
      </c>
      <c r="D977" s="4" t="s">
        <v>169</v>
      </c>
      <c r="E977" s="8" t="s">
        <v>46</v>
      </c>
      <c r="F977" s="6">
        <v>350</v>
      </c>
      <c r="G977" s="4">
        <v>2020</v>
      </c>
      <c r="H977" s="4" t="s">
        <v>361</v>
      </c>
    </row>
    <row r="978" spans="1:8" ht="15.75" customHeight="1" x14ac:dyDescent="0.2">
      <c r="A978" s="5" t="s">
        <v>666</v>
      </c>
      <c r="B978" s="4" t="str">
        <f t="shared" si="3"/>
        <v>Patricia M and Robert H Martinsen Foundation_State Policy Network2022100</v>
      </c>
      <c r="C978" s="4" t="str">
        <f ca="1">IFERROR(__xludf.DUMMYFUNCTION("ARRAY_CONSTRAIN(ARRAYFORMULA(SINGLE(TEXTJOIN(""_"",TRUE,D978,G978))), 1, 1)"),"Patricia M and Robert H Martinsen Foundation_2022")</f>
        <v>Patricia M and Robert H Martinsen Foundation_2022</v>
      </c>
      <c r="D978" s="4" t="s">
        <v>214</v>
      </c>
      <c r="E978" s="8" t="s">
        <v>46</v>
      </c>
      <c r="F978" s="6">
        <v>100</v>
      </c>
      <c r="G978" s="4">
        <v>2022</v>
      </c>
      <c r="H978" s="4" t="s">
        <v>361</v>
      </c>
    </row>
    <row r="979" spans="1:8" ht="15.75" customHeight="1" x14ac:dyDescent="0.2">
      <c r="A979" s="5" t="s">
        <v>667</v>
      </c>
      <c r="B979" s="4" t="str">
        <f t="shared" si="3"/>
        <v>Patricia M and Robert H Martinsen Foundation_State Policy Network202050</v>
      </c>
      <c r="C979" s="4" t="str">
        <f ca="1">IFERROR(__xludf.DUMMYFUNCTION("ARRAY_CONSTRAIN(ARRAYFORMULA(SINGLE(TEXTJOIN(""_"",TRUE,D979,G979))), 1, 1)"),"Patricia M and Robert H Martinsen Foundation_2020")</f>
        <v>Patricia M and Robert H Martinsen Foundation_2020</v>
      </c>
      <c r="D979" s="4" t="s">
        <v>214</v>
      </c>
      <c r="E979" s="8" t="s">
        <v>46</v>
      </c>
      <c r="F979" s="6">
        <v>50</v>
      </c>
      <c r="G979" s="4">
        <v>2020</v>
      </c>
      <c r="H979" s="4" t="s">
        <v>361</v>
      </c>
    </row>
    <row r="980" spans="1:8" ht="15.75" customHeight="1" x14ac:dyDescent="0.2">
      <c r="A980" s="5" t="s">
        <v>668</v>
      </c>
      <c r="B980" s="4" t="str">
        <f t="shared" si="3"/>
        <v>Patricia M and Robert H Martinsen Foundation_State Policy Network2019100</v>
      </c>
      <c r="C980" s="4" t="str">
        <f ca="1">IFERROR(__xludf.DUMMYFUNCTION("ARRAY_CONSTRAIN(ARRAYFORMULA(SINGLE(TEXTJOIN(""_"",TRUE,D980,G980))), 1, 1)"),"Patricia M and Robert H Martinsen Foundation_2019")</f>
        <v>Patricia M and Robert H Martinsen Foundation_2019</v>
      </c>
      <c r="D980" s="4" t="s">
        <v>214</v>
      </c>
      <c r="E980" s="8" t="s">
        <v>46</v>
      </c>
      <c r="F980" s="6">
        <v>100</v>
      </c>
      <c r="G980" s="4">
        <v>2019</v>
      </c>
      <c r="H980" s="4" t="s">
        <v>361</v>
      </c>
    </row>
    <row r="981" spans="1:8" ht="15.75" customHeight="1" x14ac:dyDescent="0.2">
      <c r="A981" s="5" t="s">
        <v>669</v>
      </c>
      <c r="B981" s="4" t="str">
        <f t="shared" si="3"/>
        <v>People United for Privacy Foundation_State Policy Network202025000</v>
      </c>
      <c r="C981" s="4" t="str">
        <f ca="1">IFERROR(__xludf.DUMMYFUNCTION("ARRAY_CONSTRAIN(ARRAYFORMULA(SINGLE(TEXTJOIN(""_"",TRUE,D981,G981))), 1, 1)"),"People United for Privacy Foundation_2020")</f>
        <v>People United for Privacy Foundation_2020</v>
      </c>
      <c r="D981" s="4" t="s">
        <v>90</v>
      </c>
      <c r="E981" s="8" t="s">
        <v>46</v>
      </c>
      <c r="F981" s="6">
        <v>25000</v>
      </c>
      <c r="G981" s="4">
        <v>2020</v>
      </c>
      <c r="H981" s="4" t="s">
        <v>361</v>
      </c>
    </row>
    <row r="982" spans="1:8" ht="15.75" customHeight="1" x14ac:dyDescent="0.2">
      <c r="A982" s="5" t="s">
        <v>670</v>
      </c>
      <c r="B982" s="4" t="str">
        <f t="shared" si="3"/>
        <v>Pfizer Foundation_State Policy Network2021100</v>
      </c>
      <c r="C982" s="4" t="str">
        <f ca="1">IFERROR(__xludf.DUMMYFUNCTION("ARRAY_CONSTRAIN(ARRAYFORMULA(SINGLE(TEXTJOIN(""_"",TRUE,D982,G982))), 1, 1)"),"Pfizer Foundation_2021")</f>
        <v>Pfizer Foundation_2021</v>
      </c>
      <c r="D982" s="4" t="s">
        <v>223</v>
      </c>
      <c r="E982" s="8" t="s">
        <v>46</v>
      </c>
      <c r="F982" s="6">
        <v>100</v>
      </c>
      <c r="G982" s="4">
        <v>2021</v>
      </c>
      <c r="H982" s="4" t="s">
        <v>361</v>
      </c>
    </row>
    <row r="983" spans="1:8" ht="15.75" customHeight="1" x14ac:dyDescent="0.2">
      <c r="A983" s="4">
        <v>990</v>
      </c>
      <c r="B983" s="4" t="str">
        <f t="shared" si="3"/>
        <v>PG Beil Foundation_State Policy Network20228000</v>
      </c>
      <c r="C983" s="4" t="str">
        <f ca="1">IFERROR(__xludf.DUMMYFUNCTION("ARRAY_CONSTRAIN(ARRAYFORMULA(SINGLE(TEXTJOIN(""_"",TRUE,D983,G983))), 1, 1)"),"PG Beil Foundation_2022")</f>
        <v>PG Beil Foundation_2022</v>
      </c>
      <c r="D983" s="4" t="s">
        <v>54</v>
      </c>
      <c r="E983" s="8" t="s">
        <v>46</v>
      </c>
      <c r="F983" s="6">
        <v>8000</v>
      </c>
      <c r="G983" s="4">
        <v>2022</v>
      </c>
      <c r="H983" s="4" t="s">
        <v>361</v>
      </c>
    </row>
    <row r="984" spans="1:8" ht="15.75" customHeight="1" x14ac:dyDescent="0.2">
      <c r="A984" s="4">
        <v>990</v>
      </c>
      <c r="B984" s="4" t="str">
        <f t="shared" si="3"/>
        <v>PG Beil Foundation_State Policy Network20218000</v>
      </c>
      <c r="C984" s="4" t="str">
        <f ca="1">IFERROR(__xludf.DUMMYFUNCTION("ARRAY_CONSTRAIN(ARRAYFORMULA(SINGLE(TEXTJOIN(""_"",TRUE,D984,G984))), 1, 1)"),"PG Beil Foundation_2021")</f>
        <v>PG Beil Foundation_2021</v>
      </c>
      <c r="D984" s="4" t="s">
        <v>54</v>
      </c>
      <c r="E984" s="8" t="s">
        <v>46</v>
      </c>
      <c r="F984" s="6">
        <v>8000</v>
      </c>
      <c r="G984" s="4">
        <v>2021</v>
      </c>
      <c r="H984" s="4" t="s">
        <v>361</v>
      </c>
    </row>
    <row r="985" spans="1:8" ht="15.75" customHeight="1" x14ac:dyDescent="0.2">
      <c r="A985" s="4">
        <v>990</v>
      </c>
      <c r="B985" s="4" t="str">
        <f t="shared" si="3"/>
        <v>PG Beil Foundation_State Policy Network20208000</v>
      </c>
      <c r="C985" s="4" t="str">
        <f ca="1">IFERROR(__xludf.DUMMYFUNCTION("ARRAY_CONSTRAIN(ARRAYFORMULA(SINGLE(TEXTJOIN(""_"",TRUE,D985,G985))), 1, 1)"),"PG Beil Foundation_2020")</f>
        <v>PG Beil Foundation_2020</v>
      </c>
      <c r="D985" s="4" t="s">
        <v>54</v>
      </c>
      <c r="E985" s="8" t="s">
        <v>46</v>
      </c>
      <c r="F985" s="6">
        <v>8000</v>
      </c>
      <c r="G985" s="4">
        <v>2020</v>
      </c>
      <c r="H985" s="4" t="s">
        <v>361</v>
      </c>
    </row>
    <row r="986" spans="1:8" ht="15.75" customHeight="1" x14ac:dyDescent="0.2">
      <c r="A986" s="4">
        <v>990</v>
      </c>
      <c r="B986" s="4" t="str">
        <f t="shared" si="3"/>
        <v>PG Beil Foundation_State Policy Network20198000</v>
      </c>
      <c r="C986" s="4" t="str">
        <f ca="1">IFERROR(__xludf.DUMMYFUNCTION("ARRAY_CONSTRAIN(ARRAYFORMULA(SINGLE(TEXTJOIN(""_"",TRUE,D986,G986))), 1, 1)"),"PG Beil Foundation_2019")</f>
        <v>PG Beil Foundation_2019</v>
      </c>
      <c r="D986" s="4" t="s">
        <v>54</v>
      </c>
      <c r="E986" s="8" t="s">
        <v>46</v>
      </c>
      <c r="F986" s="6">
        <v>8000</v>
      </c>
      <c r="G986" s="4">
        <v>2019</v>
      </c>
      <c r="H986" s="4" t="s">
        <v>361</v>
      </c>
    </row>
    <row r="987" spans="1:8" ht="15.75" customHeight="1" x14ac:dyDescent="0.2">
      <c r="A987" s="4">
        <v>990</v>
      </c>
      <c r="B987" s="4" t="str">
        <f t="shared" si="3"/>
        <v>PG Beil Foundation_State Policy Network20188000</v>
      </c>
      <c r="C987" s="4" t="str">
        <f ca="1">IFERROR(__xludf.DUMMYFUNCTION("ARRAY_CONSTRAIN(ARRAYFORMULA(SINGLE(TEXTJOIN(""_"",TRUE,D987,G987))), 1, 1)"),"PG Beil Foundation_2018")</f>
        <v>PG Beil Foundation_2018</v>
      </c>
      <c r="D987" s="4" t="s">
        <v>54</v>
      </c>
      <c r="E987" s="8" t="s">
        <v>46</v>
      </c>
      <c r="F987" s="6">
        <v>8000</v>
      </c>
      <c r="G987" s="4">
        <v>2018</v>
      </c>
      <c r="H987" s="4" t="s">
        <v>361</v>
      </c>
    </row>
    <row r="988" spans="1:8" ht="15.75" customHeight="1" x14ac:dyDescent="0.2">
      <c r="A988" s="4">
        <v>990</v>
      </c>
      <c r="B988" s="4" t="str">
        <f t="shared" si="3"/>
        <v>PG Beil Foundation_State Policy Network20178000</v>
      </c>
      <c r="C988" s="4" t="str">
        <f ca="1">IFERROR(__xludf.DUMMYFUNCTION("ARRAY_CONSTRAIN(ARRAYFORMULA(SINGLE(TEXTJOIN(""_"",TRUE,D988,G988))), 1, 1)"),"PG Beil Foundation_2017")</f>
        <v>PG Beil Foundation_2017</v>
      </c>
      <c r="D988" s="4" t="s">
        <v>54</v>
      </c>
      <c r="E988" s="8" t="s">
        <v>46</v>
      </c>
      <c r="F988" s="6">
        <v>8000</v>
      </c>
      <c r="G988" s="4">
        <v>2017</v>
      </c>
      <c r="H988" s="4" t="s">
        <v>361</v>
      </c>
    </row>
    <row r="989" spans="1:8" ht="15.75" customHeight="1" x14ac:dyDescent="0.2">
      <c r="A989" s="4">
        <v>990</v>
      </c>
      <c r="B989" s="4" t="str">
        <f t="shared" si="3"/>
        <v>PG Beil Foundation_State Policy Network20168000</v>
      </c>
      <c r="C989" s="4" t="str">
        <f ca="1">IFERROR(__xludf.DUMMYFUNCTION("ARRAY_CONSTRAIN(ARRAYFORMULA(SINGLE(TEXTJOIN(""_"",TRUE,D989,G989))), 1, 1)"),"PG Beil Foundation_2016")</f>
        <v>PG Beil Foundation_2016</v>
      </c>
      <c r="D989" s="4" t="s">
        <v>54</v>
      </c>
      <c r="E989" s="8" t="s">
        <v>46</v>
      </c>
      <c r="F989" s="6">
        <v>8000</v>
      </c>
      <c r="G989" s="4">
        <v>2016</v>
      </c>
      <c r="H989" s="4" t="s">
        <v>361</v>
      </c>
    </row>
    <row r="990" spans="1:8" ht="15.75" customHeight="1" x14ac:dyDescent="0.2">
      <c r="A990" s="4">
        <v>990</v>
      </c>
      <c r="B990" s="4" t="str">
        <f t="shared" si="3"/>
        <v>PG Beil Foundation_State Policy Network20158000</v>
      </c>
      <c r="C990" s="4" t="str">
        <f ca="1">IFERROR(__xludf.DUMMYFUNCTION("ARRAY_CONSTRAIN(ARRAYFORMULA(SINGLE(TEXTJOIN(""_"",TRUE,D990,G990))), 1, 1)"),"PG Beil Foundation_2015")</f>
        <v>PG Beil Foundation_2015</v>
      </c>
      <c r="D990" s="4" t="s">
        <v>54</v>
      </c>
      <c r="E990" s="8" t="s">
        <v>46</v>
      </c>
      <c r="F990" s="6">
        <v>8000</v>
      </c>
      <c r="G990" s="4">
        <v>2015</v>
      </c>
      <c r="H990" s="4" t="s">
        <v>361</v>
      </c>
    </row>
    <row r="991" spans="1:8" ht="15.75" customHeight="1" x14ac:dyDescent="0.2">
      <c r="A991" s="4">
        <v>990</v>
      </c>
      <c r="B991" s="4" t="str">
        <f t="shared" si="3"/>
        <v>PG Beil Foundation_State Policy Network20148000</v>
      </c>
      <c r="C991" s="4" t="str">
        <f ca="1">IFERROR(__xludf.DUMMYFUNCTION("ARRAY_CONSTRAIN(ARRAYFORMULA(SINGLE(TEXTJOIN(""_"",TRUE,D991,G991))), 1, 1)"),"PG Beil Foundation_2014")</f>
        <v>PG Beil Foundation_2014</v>
      </c>
      <c r="D991" s="4" t="s">
        <v>54</v>
      </c>
      <c r="E991" s="8" t="s">
        <v>46</v>
      </c>
      <c r="F991" s="6">
        <v>8000</v>
      </c>
      <c r="G991" s="4">
        <v>2014</v>
      </c>
      <c r="H991" s="4" t="s">
        <v>361</v>
      </c>
    </row>
    <row r="992" spans="1:8" ht="15.75" customHeight="1" x14ac:dyDescent="0.2">
      <c r="A992" s="4">
        <v>990</v>
      </c>
      <c r="B992" s="4" t="str">
        <f t="shared" si="3"/>
        <v>PG Beil Foundation_State Policy Network20138000</v>
      </c>
      <c r="C992" s="4" t="str">
        <f ca="1">IFERROR(__xludf.DUMMYFUNCTION("ARRAY_CONSTRAIN(ARRAYFORMULA(SINGLE(TEXTJOIN(""_"",TRUE,D992,G992))), 1, 1)"),"PG Beil Foundation_2013")</f>
        <v>PG Beil Foundation_2013</v>
      </c>
      <c r="D992" s="4" t="s">
        <v>54</v>
      </c>
      <c r="E992" s="8" t="s">
        <v>46</v>
      </c>
      <c r="F992" s="6">
        <v>8000</v>
      </c>
      <c r="G992" s="4">
        <v>2013</v>
      </c>
      <c r="H992" s="4" t="s">
        <v>361</v>
      </c>
    </row>
    <row r="993" spans="1:8" ht="15.75" customHeight="1" x14ac:dyDescent="0.2">
      <c r="A993" s="4">
        <v>990</v>
      </c>
      <c r="B993" s="4" t="str">
        <f t="shared" si="3"/>
        <v>PG Beil Foundation_State Policy Network20125000</v>
      </c>
      <c r="C993" s="4" t="str">
        <f ca="1">IFERROR(__xludf.DUMMYFUNCTION("ARRAY_CONSTRAIN(ARRAYFORMULA(SINGLE(TEXTJOIN(""_"",TRUE,D993,G993))), 1, 1)"),"PG Beil Foundation_2012")</f>
        <v>PG Beil Foundation_2012</v>
      </c>
      <c r="D993" s="4" t="s">
        <v>54</v>
      </c>
      <c r="E993" s="8" t="s">
        <v>46</v>
      </c>
      <c r="F993" s="6">
        <v>5000</v>
      </c>
      <c r="G993" s="4">
        <v>2012</v>
      </c>
      <c r="H993" s="4" t="s">
        <v>361</v>
      </c>
    </row>
    <row r="994" spans="1:8" ht="15.75" customHeight="1" x14ac:dyDescent="0.2">
      <c r="A994" s="4">
        <v>990</v>
      </c>
      <c r="B994" s="4" t="str">
        <f t="shared" si="3"/>
        <v>PG Beil Foundation_State Policy Network20115000</v>
      </c>
      <c r="C994" s="4" t="str">
        <f ca="1">IFERROR(__xludf.DUMMYFUNCTION("ARRAY_CONSTRAIN(ARRAYFORMULA(SINGLE(TEXTJOIN(""_"",TRUE,D994,G994))), 1, 1)"),"PG Beil Foundation_2011")</f>
        <v>PG Beil Foundation_2011</v>
      </c>
      <c r="D994" s="4" t="s">
        <v>54</v>
      </c>
      <c r="E994" s="8" t="s">
        <v>46</v>
      </c>
      <c r="F994" s="6">
        <v>5000</v>
      </c>
      <c r="G994" s="4">
        <v>2011</v>
      </c>
      <c r="H994" s="4" t="s">
        <v>361</v>
      </c>
    </row>
    <row r="995" spans="1:8" ht="15.75" customHeight="1" x14ac:dyDescent="0.2">
      <c r="A995" s="5" t="s">
        <v>671</v>
      </c>
      <c r="B995" s="4" t="str">
        <f t="shared" si="3"/>
        <v>Philip M Friedmann Family Charitable Trust_State Policy Network20215000</v>
      </c>
      <c r="C995" s="4" t="str">
        <f ca="1">IFERROR(__xludf.DUMMYFUNCTION("ARRAY_CONSTRAIN(ARRAYFORMULA(SINGLE(TEXTJOIN(""_"",TRUE,D995,G995))), 1, 1)"),"Philip M Friedmann Family Charitable Trust_2021")</f>
        <v>Philip M Friedmann Family Charitable Trust_2021</v>
      </c>
      <c r="D995" s="4" t="s">
        <v>118</v>
      </c>
      <c r="E995" s="8" t="s">
        <v>46</v>
      </c>
      <c r="F995" s="6">
        <v>5000</v>
      </c>
      <c r="G995" s="4">
        <v>2021</v>
      </c>
      <c r="H995" s="4" t="s">
        <v>361</v>
      </c>
    </row>
    <row r="996" spans="1:8" ht="15.75" customHeight="1" x14ac:dyDescent="0.2">
      <c r="A996" s="5" t="s">
        <v>672</v>
      </c>
      <c r="B996" s="4" t="str">
        <f t="shared" si="3"/>
        <v>Philip M Friedmann Family Charitable Trust_State Policy Network20202500</v>
      </c>
      <c r="C996" s="4" t="str">
        <f ca="1">IFERROR(__xludf.DUMMYFUNCTION("ARRAY_CONSTRAIN(ARRAYFORMULA(SINGLE(TEXTJOIN(""_"",TRUE,D996,G996))), 1, 1)"),"Philip M Friedmann Family Charitable Trust_2020")</f>
        <v>Philip M Friedmann Family Charitable Trust_2020</v>
      </c>
      <c r="D996" s="4" t="s">
        <v>118</v>
      </c>
      <c r="E996" s="8" t="s">
        <v>46</v>
      </c>
      <c r="F996" s="6">
        <v>2500</v>
      </c>
      <c r="G996" s="4">
        <v>2020</v>
      </c>
      <c r="H996" s="4" t="s">
        <v>361</v>
      </c>
    </row>
    <row r="997" spans="1:8" ht="15.75" customHeight="1" x14ac:dyDescent="0.2">
      <c r="A997" s="5" t="s">
        <v>673</v>
      </c>
      <c r="B997" s="4" t="str">
        <f t="shared" si="3"/>
        <v>Philip M Friedmann Family Charitable Trust_State Policy Network20182500</v>
      </c>
      <c r="C997" s="4" t="str">
        <f ca="1">IFERROR(__xludf.DUMMYFUNCTION("ARRAY_CONSTRAIN(ARRAYFORMULA(SINGLE(TEXTJOIN(""_"",TRUE,D997,G997))), 1, 1)"),"Philip M Friedmann Family Charitable Trust_2018")</f>
        <v>Philip M Friedmann Family Charitable Trust_2018</v>
      </c>
      <c r="D997" s="4" t="s">
        <v>118</v>
      </c>
      <c r="E997" s="8" t="s">
        <v>46</v>
      </c>
      <c r="F997" s="6">
        <v>2500</v>
      </c>
      <c r="G997" s="4">
        <v>2018</v>
      </c>
      <c r="H997" s="4" t="s">
        <v>361</v>
      </c>
    </row>
    <row r="998" spans="1:8" ht="15.75" customHeight="1" x14ac:dyDescent="0.2">
      <c r="A998" s="5" t="s">
        <v>674</v>
      </c>
      <c r="B998" s="4" t="str">
        <f t="shared" si="3"/>
        <v>Philip M Friedmann Family Charitable Trust_State Policy Network20152500</v>
      </c>
      <c r="C998" s="4" t="str">
        <f ca="1">IFERROR(__xludf.DUMMYFUNCTION("ARRAY_CONSTRAIN(ARRAYFORMULA(SINGLE(TEXTJOIN(""_"",TRUE,D998,G998))), 1, 1)"),"Philip M Friedmann Family Charitable Trust_2015")</f>
        <v>Philip M Friedmann Family Charitable Trust_2015</v>
      </c>
      <c r="D998" s="4" t="s">
        <v>118</v>
      </c>
      <c r="E998" s="8" t="s">
        <v>46</v>
      </c>
      <c r="F998" s="6">
        <v>2500</v>
      </c>
      <c r="G998" s="4">
        <v>2015</v>
      </c>
      <c r="H998" s="4" t="s">
        <v>361</v>
      </c>
    </row>
    <row r="999" spans="1:8" ht="15.75" customHeight="1" x14ac:dyDescent="0.2">
      <c r="A999" s="5" t="s">
        <v>675</v>
      </c>
      <c r="B999" s="4" t="str">
        <f t="shared" si="3"/>
        <v>Philip M Friedmann Family Charitable Trust_State Policy Network20131000</v>
      </c>
      <c r="C999" s="4" t="str">
        <f ca="1">IFERROR(__xludf.DUMMYFUNCTION("ARRAY_CONSTRAIN(ARRAYFORMULA(SINGLE(TEXTJOIN(""_"",TRUE,D999,G999))), 1, 1)"),"Philip M Friedmann Family Charitable Trust_2013")</f>
        <v>Philip M Friedmann Family Charitable Trust_2013</v>
      </c>
      <c r="D999" s="4" t="s">
        <v>118</v>
      </c>
      <c r="E999" s="8" t="s">
        <v>46</v>
      </c>
      <c r="F999" s="6">
        <v>1000</v>
      </c>
      <c r="G999" s="4">
        <v>2013</v>
      </c>
      <c r="H999" s="4" t="s">
        <v>361</v>
      </c>
    </row>
    <row r="1000" spans="1:8" ht="15.75" customHeight="1" x14ac:dyDescent="0.2">
      <c r="A1000" s="4">
        <v>990</v>
      </c>
      <c r="B1000" s="4" t="str">
        <f t="shared" si="3"/>
        <v>PhRMA_State Policy Network201615000</v>
      </c>
      <c r="C1000" s="4" t="str">
        <f ca="1">IFERROR(__xludf.DUMMYFUNCTION("ARRAY_CONSTRAIN(ARRAYFORMULA(SINGLE(TEXTJOIN(""_"",TRUE,D1000,G1000))), 1, 1)"),"PhRMA_2016")</f>
        <v>PhRMA_2016</v>
      </c>
      <c r="D1000" s="4" t="s">
        <v>60</v>
      </c>
      <c r="E1000" s="8" t="s">
        <v>46</v>
      </c>
      <c r="F1000" s="6">
        <v>15000</v>
      </c>
      <c r="G1000" s="4">
        <v>2016</v>
      </c>
      <c r="H1000" s="4" t="s">
        <v>361</v>
      </c>
    </row>
    <row r="1001" spans="1:8" ht="15.75" customHeight="1" x14ac:dyDescent="0.2">
      <c r="A1001" s="4" t="s">
        <v>368</v>
      </c>
      <c r="B1001" s="4" t="str">
        <f t="shared" si="3"/>
        <v>PhRMA_State Policy Network200860000</v>
      </c>
      <c r="C1001" s="4" t="str">
        <f ca="1">IFERROR(__xludf.DUMMYFUNCTION("ARRAY_CONSTRAIN(ARRAYFORMULA(SINGLE(TEXTJOIN(""_"",TRUE,D1001,G1001))), 1, 1)"),"PhRMA_2008")</f>
        <v>PhRMA_2008</v>
      </c>
      <c r="D1001" s="4" t="s">
        <v>60</v>
      </c>
      <c r="E1001" s="8" t="s">
        <v>46</v>
      </c>
      <c r="F1001" s="6">
        <v>60000</v>
      </c>
      <c r="G1001" s="4">
        <v>2008</v>
      </c>
    </row>
    <row r="1002" spans="1:8" ht="15.75" customHeight="1" x14ac:dyDescent="0.2">
      <c r="A1002" s="5" t="s">
        <v>676</v>
      </c>
      <c r="B1002" s="4" t="str">
        <f t="shared" si="3"/>
        <v>Policy Circle Co_State Policy Network201713000</v>
      </c>
      <c r="C1002" s="4" t="str">
        <f ca="1">IFERROR(__xludf.DUMMYFUNCTION("ARRAY_CONSTRAIN(ARRAYFORMULA(SINGLE(TEXTJOIN(""_"",TRUE,D1002,G1002))), 1, 1)"),"Policy Circle Co_2017")</f>
        <v>Policy Circle Co_2017</v>
      </c>
      <c r="D1002" s="4" t="s">
        <v>121</v>
      </c>
      <c r="E1002" s="8" t="s">
        <v>46</v>
      </c>
      <c r="F1002" s="6">
        <v>13000</v>
      </c>
      <c r="G1002" s="4">
        <v>2017</v>
      </c>
      <c r="H1002" s="4" t="s">
        <v>361</v>
      </c>
    </row>
    <row r="1003" spans="1:8" ht="15.75" customHeight="1" x14ac:dyDescent="0.2">
      <c r="A1003" s="5" t="s">
        <v>677</v>
      </c>
      <c r="B1003" s="4" t="str">
        <f t="shared" si="3"/>
        <v>Prudential Foundation_State Policy Network201425</v>
      </c>
      <c r="C1003" s="4" t="str">
        <f ca="1">IFERROR(__xludf.DUMMYFUNCTION("ARRAY_CONSTRAIN(ARRAYFORMULA(SINGLE(TEXTJOIN(""_"",TRUE,D1003,G1003))), 1, 1)"),"Prudential Foundation_2014")</f>
        <v>Prudential Foundation_2014</v>
      </c>
      <c r="D1003" s="4" t="s">
        <v>230</v>
      </c>
      <c r="E1003" s="8" t="s">
        <v>46</v>
      </c>
      <c r="F1003" s="6">
        <v>25</v>
      </c>
      <c r="G1003" s="4">
        <v>2014</v>
      </c>
      <c r="H1003" s="4" t="s">
        <v>361</v>
      </c>
    </row>
    <row r="1004" spans="1:8" ht="15.75" customHeight="1" x14ac:dyDescent="0.2">
      <c r="A1004" s="5" t="s">
        <v>678</v>
      </c>
      <c r="B1004" s="4" t="str">
        <f t="shared" si="3"/>
        <v>Prudential Foundation_State Policy Network201325</v>
      </c>
      <c r="C1004" s="4" t="str">
        <f ca="1">IFERROR(__xludf.DUMMYFUNCTION("ARRAY_CONSTRAIN(ARRAYFORMULA(SINGLE(TEXTJOIN(""_"",TRUE,D1004,G1004))), 1, 1)"),"Prudential Foundation_2013")</f>
        <v>Prudential Foundation_2013</v>
      </c>
      <c r="D1004" s="4" t="s">
        <v>230</v>
      </c>
      <c r="E1004" s="8" t="s">
        <v>46</v>
      </c>
      <c r="F1004" s="6">
        <v>25</v>
      </c>
      <c r="G1004" s="4">
        <v>2013</v>
      </c>
      <c r="H1004" s="4" t="s">
        <v>361</v>
      </c>
    </row>
    <row r="1005" spans="1:8" ht="15.75" customHeight="1" x14ac:dyDescent="0.2">
      <c r="A1005" s="5" t="s">
        <v>679</v>
      </c>
      <c r="B1005" s="4" t="str">
        <f t="shared" si="3"/>
        <v>Quaker City_State Policy Network2021250</v>
      </c>
      <c r="C1005" s="4" t="str">
        <f ca="1">IFERROR(__xludf.DUMMYFUNCTION("ARRAY_CONSTRAIN(ARRAYFORMULA(SINGLE(TEXTJOIN(""_"",TRUE,D1005,G1005))), 1, 1)"),"Quaker City_2021")</f>
        <v>Quaker City_2021</v>
      </c>
      <c r="D1005" s="4" t="s">
        <v>213</v>
      </c>
      <c r="E1005" s="8" t="s">
        <v>46</v>
      </c>
      <c r="F1005" s="6">
        <v>250</v>
      </c>
      <c r="G1005" s="4">
        <v>2021</v>
      </c>
      <c r="H1005" s="4" t="s">
        <v>361</v>
      </c>
    </row>
    <row r="1006" spans="1:8" ht="15.75" customHeight="1" x14ac:dyDescent="0.2">
      <c r="A1006" s="5" t="s">
        <v>680</v>
      </c>
      <c r="B1006" s="4" t="str">
        <f t="shared" si="3"/>
        <v>Ralph A Loveys Family Charitable Foundation_State Policy Network2013200</v>
      </c>
      <c r="C1006" s="4" t="str">
        <f ca="1">IFERROR(__xludf.DUMMYFUNCTION("ARRAY_CONSTRAIN(ARRAYFORMULA(SINGLE(TEXTJOIN(""_"",TRUE,D1006,G1006))), 1, 1)"),"Ralph A Loveys Family Charitable Foundation_2013")</f>
        <v>Ralph A Loveys Family Charitable Foundation_2013</v>
      </c>
      <c r="D1006" s="4" t="s">
        <v>191</v>
      </c>
      <c r="E1006" s="8" t="s">
        <v>46</v>
      </c>
      <c r="F1006" s="6">
        <v>200</v>
      </c>
      <c r="G1006" s="4">
        <v>2013</v>
      </c>
      <c r="H1006" s="4" t="s">
        <v>361</v>
      </c>
    </row>
    <row r="1007" spans="1:8" ht="15.75" customHeight="1" x14ac:dyDescent="0.2">
      <c r="A1007" s="5" t="s">
        <v>681</v>
      </c>
      <c r="B1007" s="4" t="str">
        <f t="shared" si="3"/>
        <v>Ralph A Loveys Family Charitable Foundation_State Policy Network2012500</v>
      </c>
      <c r="C1007" s="4" t="str">
        <f ca="1">IFERROR(__xludf.DUMMYFUNCTION("ARRAY_CONSTRAIN(ARRAYFORMULA(SINGLE(TEXTJOIN(""_"",TRUE,D1007,G1007))), 1, 1)"),"Ralph A Loveys Family Charitable Foundation_2012")</f>
        <v>Ralph A Loveys Family Charitable Foundation_2012</v>
      </c>
      <c r="D1007" s="4" t="s">
        <v>191</v>
      </c>
      <c r="E1007" s="8" t="s">
        <v>46</v>
      </c>
      <c r="F1007" s="6">
        <v>500</v>
      </c>
      <c r="G1007" s="4">
        <v>2012</v>
      </c>
      <c r="H1007" s="4" t="s">
        <v>361</v>
      </c>
    </row>
    <row r="1008" spans="1:8" ht="15.75" customHeight="1" x14ac:dyDescent="0.2">
      <c r="A1008" s="5" t="s">
        <v>682</v>
      </c>
      <c r="B1008" s="4" t="str">
        <f t="shared" si="3"/>
        <v>Ralph A Loveys Family Charitable Foundation_State Policy Network2011250</v>
      </c>
      <c r="C1008" s="4" t="str">
        <f ca="1">IFERROR(__xludf.DUMMYFUNCTION("ARRAY_CONSTRAIN(ARRAYFORMULA(SINGLE(TEXTJOIN(""_"",TRUE,D1008,G1008))), 1, 1)"),"Ralph A Loveys Family Charitable Foundation_2011")</f>
        <v>Ralph A Loveys Family Charitable Foundation_2011</v>
      </c>
      <c r="D1008" s="4" t="s">
        <v>191</v>
      </c>
      <c r="E1008" s="8" t="s">
        <v>46</v>
      </c>
      <c r="F1008" s="6">
        <v>250</v>
      </c>
      <c r="G1008" s="4">
        <v>2011</v>
      </c>
      <c r="H1008" s="4" t="s">
        <v>361</v>
      </c>
    </row>
    <row r="1009" spans="1:8" ht="15.75" customHeight="1" x14ac:dyDescent="0.2">
      <c r="A1009" s="5" t="s">
        <v>683</v>
      </c>
      <c r="B1009" s="4" t="str">
        <f t="shared" si="3"/>
        <v>Ralph and Linda Kaffel Charitable Foundation_State Policy Network2012200</v>
      </c>
      <c r="C1009" s="4" t="str">
        <f ca="1">IFERROR(__xludf.DUMMYFUNCTION("ARRAY_CONSTRAIN(ARRAYFORMULA(SINGLE(TEXTJOIN(""_"",TRUE,D1009,G1009))), 1, 1)"),"Ralph and Linda Kaffel Charitable Foundation_2012")</f>
        <v>Ralph and Linda Kaffel Charitable Foundation_2012</v>
      </c>
      <c r="D1009" s="4" t="s">
        <v>217</v>
      </c>
      <c r="E1009" s="8" t="s">
        <v>46</v>
      </c>
      <c r="F1009" s="6">
        <v>200</v>
      </c>
      <c r="G1009" s="4">
        <v>2012</v>
      </c>
      <c r="H1009" s="4" t="s">
        <v>361</v>
      </c>
    </row>
    <row r="1010" spans="1:8" ht="15.75" customHeight="1" x14ac:dyDescent="0.2">
      <c r="A1010" s="4">
        <v>990</v>
      </c>
      <c r="B1010" s="4" t="str">
        <f t="shared" si="3"/>
        <v>Reams Foundation_State Policy Network202170000</v>
      </c>
      <c r="C1010" s="4" t="str">
        <f ca="1">IFERROR(__xludf.DUMMYFUNCTION("ARRAY_CONSTRAIN(ARRAYFORMULA(SINGLE(TEXTJOIN(""_"",TRUE,D1010,G1010))), 1, 1)"),"Reams Foundation_2021")</f>
        <v>Reams Foundation_2021</v>
      </c>
      <c r="D1010" s="4" t="s">
        <v>24</v>
      </c>
      <c r="E1010" s="8" t="s">
        <v>46</v>
      </c>
      <c r="F1010" s="6">
        <v>70000</v>
      </c>
      <c r="G1010" s="4">
        <v>2021</v>
      </c>
      <c r="H1010" s="4" t="s">
        <v>361</v>
      </c>
    </row>
    <row r="1011" spans="1:8" ht="15.75" customHeight="1" x14ac:dyDescent="0.2">
      <c r="A1011" s="4">
        <v>990</v>
      </c>
      <c r="B1011" s="4" t="str">
        <f t="shared" si="3"/>
        <v>Reams Foundation_State Policy Network202070000</v>
      </c>
      <c r="C1011" s="4" t="str">
        <f ca="1">IFERROR(__xludf.DUMMYFUNCTION("ARRAY_CONSTRAIN(ARRAYFORMULA(SINGLE(TEXTJOIN(""_"",TRUE,D1011,G1011))), 1, 1)"),"Reams Foundation_2020")</f>
        <v>Reams Foundation_2020</v>
      </c>
      <c r="D1011" s="4" t="s">
        <v>24</v>
      </c>
      <c r="E1011" s="8" t="s">
        <v>46</v>
      </c>
      <c r="F1011" s="6">
        <v>70000</v>
      </c>
      <c r="G1011" s="4">
        <v>2020</v>
      </c>
      <c r="H1011" s="4" t="s">
        <v>361</v>
      </c>
    </row>
    <row r="1012" spans="1:8" ht="15.75" customHeight="1" x14ac:dyDescent="0.2">
      <c r="A1012" s="4">
        <v>990</v>
      </c>
      <c r="B1012" s="4" t="str">
        <f t="shared" si="3"/>
        <v>Reams Foundation_State Policy Network201960000</v>
      </c>
      <c r="C1012" s="4" t="str">
        <f ca="1">IFERROR(__xludf.DUMMYFUNCTION("ARRAY_CONSTRAIN(ARRAYFORMULA(SINGLE(TEXTJOIN(""_"",TRUE,D1012,G1012))), 1, 1)"),"Reams Foundation_2019")</f>
        <v>Reams Foundation_2019</v>
      </c>
      <c r="D1012" s="4" t="s">
        <v>24</v>
      </c>
      <c r="E1012" s="8" t="s">
        <v>46</v>
      </c>
      <c r="F1012" s="6">
        <v>60000</v>
      </c>
      <c r="G1012" s="4">
        <v>2019</v>
      </c>
      <c r="H1012" s="4" t="s">
        <v>361</v>
      </c>
    </row>
    <row r="1013" spans="1:8" ht="15.75" customHeight="1" x14ac:dyDescent="0.2">
      <c r="A1013" s="4">
        <v>990</v>
      </c>
      <c r="B1013" s="4" t="str">
        <f t="shared" si="3"/>
        <v>Reams Foundation_State Policy Network201850000</v>
      </c>
      <c r="C1013" s="4" t="str">
        <f ca="1">IFERROR(__xludf.DUMMYFUNCTION("ARRAY_CONSTRAIN(ARRAYFORMULA(SINGLE(TEXTJOIN(""_"",TRUE,D1013,G1013))), 1, 1)"),"Reams Foundation_2018")</f>
        <v>Reams Foundation_2018</v>
      </c>
      <c r="D1013" s="4" t="s">
        <v>24</v>
      </c>
      <c r="E1013" s="8" t="s">
        <v>46</v>
      </c>
      <c r="F1013" s="6">
        <v>50000</v>
      </c>
      <c r="G1013" s="4">
        <v>2018</v>
      </c>
      <c r="H1013" s="4" t="s">
        <v>361</v>
      </c>
    </row>
    <row r="1014" spans="1:8" ht="15.75" customHeight="1" x14ac:dyDescent="0.2">
      <c r="A1014" s="4">
        <v>990</v>
      </c>
      <c r="B1014" s="4" t="str">
        <f t="shared" si="3"/>
        <v>Reams Foundation_State Policy Network201730000</v>
      </c>
      <c r="C1014" s="4" t="str">
        <f ca="1">IFERROR(__xludf.DUMMYFUNCTION("ARRAY_CONSTRAIN(ARRAYFORMULA(SINGLE(TEXTJOIN(""_"",TRUE,D1014,G1014))), 1, 1)"),"Reams Foundation_2017")</f>
        <v>Reams Foundation_2017</v>
      </c>
      <c r="D1014" s="4" t="s">
        <v>24</v>
      </c>
      <c r="E1014" s="8" t="s">
        <v>46</v>
      </c>
      <c r="F1014" s="6">
        <v>30000</v>
      </c>
      <c r="G1014" s="4">
        <v>2017</v>
      </c>
      <c r="H1014" s="4" t="s">
        <v>361</v>
      </c>
    </row>
    <row r="1015" spans="1:8" ht="15.75" customHeight="1" x14ac:dyDescent="0.2">
      <c r="A1015" s="4">
        <v>990</v>
      </c>
      <c r="B1015" s="4" t="str">
        <f t="shared" si="3"/>
        <v>Reams Foundation_State Policy Network201660000</v>
      </c>
      <c r="C1015" s="4" t="str">
        <f ca="1">IFERROR(__xludf.DUMMYFUNCTION("ARRAY_CONSTRAIN(ARRAYFORMULA(SINGLE(TEXTJOIN(""_"",TRUE,D1015,G1015))), 1, 1)"),"Reams Foundation_2016")</f>
        <v>Reams Foundation_2016</v>
      </c>
      <c r="D1015" s="4" t="s">
        <v>24</v>
      </c>
      <c r="E1015" s="8" t="s">
        <v>46</v>
      </c>
      <c r="F1015" s="6">
        <v>60000</v>
      </c>
      <c r="G1015" s="4">
        <v>2016</v>
      </c>
      <c r="H1015" s="4" t="s">
        <v>361</v>
      </c>
    </row>
    <row r="1016" spans="1:8" ht="15.75" customHeight="1" x14ac:dyDescent="0.2">
      <c r="A1016" s="4">
        <v>990</v>
      </c>
      <c r="B1016" s="4" t="str">
        <f t="shared" si="3"/>
        <v>Reams Foundation_State Policy Network201560000</v>
      </c>
      <c r="C1016" s="4" t="str">
        <f ca="1">IFERROR(__xludf.DUMMYFUNCTION("ARRAY_CONSTRAIN(ARRAYFORMULA(SINGLE(TEXTJOIN(""_"",TRUE,D1016,G1016))), 1, 1)"),"Reams Foundation_2015")</f>
        <v>Reams Foundation_2015</v>
      </c>
      <c r="D1016" s="4" t="s">
        <v>24</v>
      </c>
      <c r="E1016" s="8" t="s">
        <v>46</v>
      </c>
      <c r="F1016" s="6">
        <v>60000</v>
      </c>
      <c r="G1016" s="4">
        <v>2015</v>
      </c>
      <c r="H1016" s="4" t="s">
        <v>361</v>
      </c>
    </row>
    <row r="1017" spans="1:8" ht="15.75" customHeight="1" x14ac:dyDescent="0.2">
      <c r="A1017" s="4">
        <v>990</v>
      </c>
      <c r="B1017" s="4" t="str">
        <f t="shared" si="3"/>
        <v>Reams Foundation_State Policy Network201460000</v>
      </c>
      <c r="C1017" s="4" t="str">
        <f ca="1">IFERROR(__xludf.DUMMYFUNCTION("ARRAY_CONSTRAIN(ARRAYFORMULA(SINGLE(TEXTJOIN(""_"",TRUE,D1017,G1017))), 1, 1)"),"Reams Foundation_2014")</f>
        <v>Reams Foundation_2014</v>
      </c>
      <c r="D1017" s="4" t="s">
        <v>24</v>
      </c>
      <c r="E1017" s="8" t="s">
        <v>46</v>
      </c>
      <c r="F1017" s="6">
        <v>60000</v>
      </c>
      <c r="G1017" s="4">
        <v>2014</v>
      </c>
      <c r="H1017" s="4" t="s">
        <v>361</v>
      </c>
    </row>
    <row r="1018" spans="1:8" ht="15.75" customHeight="1" x14ac:dyDescent="0.2">
      <c r="A1018" s="4">
        <v>990</v>
      </c>
      <c r="B1018" s="4" t="str">
        <f t="shared" si="3"/>
        <v>Reams Foundation_State Policy Network201325000</v>
      </c>
      <c r="C1018" s="4" t="str">
        <f ca="1">IFERROR(__xludf.DUMMYFUNCTION("ARRAY_CONSTRAIN(ARRAYFORMULA(SINGLE(TEXTJOIN(""_"",TRUE,D1018,G1018))), 1, 1)"),"Reams Foundation_2013")</f>
        <v>Reams Foundation_2013</v>
      </c>
      <c r="D1018" s="4" t="s">
        <v>24</v>
      </c>
      <c r="E1018" s="8" t="s">
        <v>46</v>
      </c>
      <c r="F1018" s="6">
        <v>25000</v>
      </c>
      <c r="G1018" s="4">
        <v>2013</v>
      </c>
      <c r="H1018" s="4" t="s">
        <v>361</v>
      </c>
    </row>
    <row r="1019" spans="1:8" ht="15.75" customHeight="1" x14ac:dyDescent="0.2">
      <c r="A1019" s="4" t="s">
        <v>369</v>
      </c>
      <c r="B1019" s="4" t="str">
        <f t="shared" si="3"/>
        <v>Reams Foundation_State Policy Network201225000</v>
      </c>
      <c r="C1019" s="4" t="str">
        <f ca="1">IFERROR(__xludf.DUMMYFUNCTION("ARRAY_CONSTRAIN(ARRAYFORMULA(SINGLE(TEXTJOIN(""_"",TRUE,D1019,G1019))), 1, 1)"),"Reams Foundation_2012")</f>
        <v>Reams Foundation_2012</v>
      </c>
      <c r="D1019" s="4" t="s">
        <v>24</v>
      </c>
      <c r="E1019" s="8" t="s">
        <v>46</v>
      </c>
      <c r="F1019" s="6">
        <v>25000</v>
      </c>
      <c r="G1019" s="4">
        <v>2012</v>
      </c>
      <c r="H1019" s="4" t="s">
        <v>359</v>
      </c>
    </row>
    <row r="1020" spans="1:8" ht="15.75" customHeight="1" x14ac:dyDescent="0.2">
      <c r="A1020" s="5" t="s">
        <v>684</v>
      </c>
      <c r="B1020" s="4" t="str">
        <f t="shared" si="3"/>
        <v>Red Bird Hollow Foundation_State Policy Network20213000</v>
      </c>
      <c r="C1020" s="4" t="str">
        <f ca="1">IFERROR(__xludf.DUMMYFUNCTION("ARRAY_CONSTRAIN(ARRAYFORMULA(SINGLE(TEXTJOIN(""_"",TRUE,D1020,G1020))), 1, 1)"),"Red Bird Hollow Foundation_2021")</f>
        <v>Red Bird Hollow Foundation_2021</v>
      </c>
      <c r="D1020" s="4" t="s">
        <v>150</v>
      </c>
      <c r="E1020" s="8" t="s">
        <v>46</v>
      </c>
      <c r="F1020" s="6">
        <v>3000</v>
      </c>
      <c r="G1020" s="4">
        <v>2021</v>
      </c>
      <c r="H1020" s="4" t="s">
        <v>361</v>
      </c>
    </row>
    <row r="1021" spans="1:8" ht="15.75" customHeight="1" x14ac:dyDescent="0.2">
      <c r="A1021" s="5" t="s">
        <v>685</v>
      </c>
      <c r="B1021" s="4" t="str">
        <f t="shared" si="3"/>
        <v>Red Bird Hollow Foundation_State Policy Network20201000</v>
      </c>
      <c r="C1021" s="4" t="str">
        <f ca="1">IFERROR(__xludf.DUMMYFUNCTION("ARRAY_CONSTRAIN(ARRAYFORMULA(SINGLE(TEXTJOIN(""_"",TRUE,D1021,G1021))), 1, 1)"),"Red Bird Hollow Foundation_2020")</f>
        <v>Red Bird Hollow Foundation_2020</v>
      </c>
      <c r="D1021" s="4" t="s">
        <v>150</v>
      </c>
      <c r="E1021" s="8" t="s">
        <v>46</v>
      </c>
      <c r="F1021" s="6">
        <v>1000</v>
      </c>
      <c r="G1021" s="4">
        <v>2020</v>
      </c>
      <c r="H1021" s="4" t="s">
        <v>361</v>
      </c>
    </row>
    <row r="1022" spans="1:8" ht="15.75" customHeight="1" x14ac:dyDescent="0.2">
      <c r="A1022" s="5" t="s">
        <v>686</v>
      </c>
      <c r="B1022" s="4" t="str">
        <f t="shared" ref="B1022:B1276" si="4">D1022&amp;"_"&amp;E1022&amp;G1022&amp;F1022</f>
        <v>Red Bird Hollow Foundation_State Policy Network20191000</v>
      </c>
      <c r="C1022" s="4" t="str">
        <f ca="1">IFERROR(__xludf.DUMMYFUNCTION("ARRAY_CONSTRAIN(ARRAYFORMULA(SINGLE(TEXTJOIN(""_"",TRUE,D1022,G1022))), 1, 1)"),"Red Bird Hollow Foundation_2019")</f>
        <v>Red Bird Hollow Foundation_2019</v>
      </c>
      <c r="D1022" s="4" t="s">
        <v>150</v>
      </c>
      <c r="E1022" s="8" t="s">
        <v>46</v>
      </c>
      <c r="F1022" s="6">
        <v>1000</v>
      </c>
      <c r="G1022" s="4">
        <v>2019</v>
      </c>
      <c r="H1022" s="4" t="s">
        <v>361</v>
      </c>
    </row>
    <row r="1023" spans="1:8" ht="15.75" customHeight="1" x14ac:dyDescent="0.2">
      <c r="A1023" s="5" t="s">
        <v>687</v>
      </c>
      <c r="B1023" s="4" t="str">
        <f t="shared" si="4"/>
        <v>Rhonda Fleming Foundation_State Policy Network2015250</v>
      </c>
      <c r="C1023" s="4" t="str">
        <f ca="1">IFERROR(__xludf.DUMMYFUNCTION("ARRAY_CONSTRAIN(ARRAYFORMULA(SINGLE(TEXTJOIN(""_"",TRUE,D1023,G1023))), 1, 1)"),"Rhonda Fleming Foundation_2015")</f>
        <v>Rhonda Fleming Foundation_2015</v>
      </c>
      <c r="D1023" s="4" t="s">
        <v>212</v>
      </c>
      <c r="E1023" s="8" t="s">
        <v>46</v>
      </c>
      <c r="F1023" s="6">
        <v>250</v>
      </c>
      <c r="G1023" s="4">
        <v>2015</v>
      </c>
      <c r="H1023" s="4" t="s">
        <v>361</v>
      </c>
    </row>
    <row r="1024" spans="1:8" ht="15.75" customHeight="1" x14ac:dyDescent="0.2">
      <c r="A1024" s="4">
        <v>990</v>
      </c>
      <c r="B1024" s="4" t="str">
        <f t="shared" si="4"/>
        <v>Richard Horvitz and Erica Hartman Horvitz Foundation_State Policy Network20212500</v>
      </c>
      <c r="C1024" s="4" t="str">
        <f ca="1">IFERROR(__xludf.DUMMYFUNCTION("ARRAY_CONSTRAIN(ARRAYFORMULA(SINGLE(TEXTJOIN(""_"",TRUE,D1024,G1024))), 1, 1)"),"Richard Horvitz and Erica Hartman Horvitz Foundation_2021")</f>
        <v>Richard Horvitz and Erica Hartman Horvitz Foundation_2021</v>
      </c>
      <c r="D1024" s="4" t="s">
        <v>82</v>
      </c>
      <c r="E1024" s="8" t="s">
        <v>46</v>
      </c>
      <c r="F1024" s="6">
        <v>2500</v>
      </c>
      <c r="G1024" s="4">
        <v>2021</v>
      </c>
      <c r="H1024" s="4" t="s">
        <v>361</v>
      </c>
    </row>
    <row r="1025" spans="1:8" ht="15.75" customHeight="1" x14ac:dyDescent="0.2">
      <c r="A1025" s="4">
        <v>990</v>
      </c>
      <c r="B1025" s="4" t="str">
        <f t="shared" si="4"/>
        <v>Richard Horvitz and Erica Hartman Horvitz Foundation_State Policy Network20212500</v>
      </c>
      <c r="C1025" s="4" t="str">
        <f ca="1">IFERROR(__xludf.DUMMYFUNCTION("ARRAY_CONSTRAIN(ARRAYFORMULA(SINGLE(TEXTJOIN(""_"",TRUE,D1025,G1025))), 1, 1)"),"Richard Horvitz and Erica Hartman Horvitz Foundation_2021")</f>
        <v>Richard Horvitz and Erica Hartman Horvitz Foundation_2021</v>
      </c>
      <c r="D1025" s="4" t="s">
        <v>82</v>
      </c>
      <c r="E1025" s="8" t="s">
        <v>46</v>
      </c>
      <c r="F1025" s="6">
        <v>2500</v>
      </c>
      <c r="G1025" s="4">
        <v>2021</v>
      </c>
      <c r="H1025" s="4" t="s">
        <v>361</v>
      </c>
    </row>
    <row r="1026" spans="1:8" ht="15.75" customHeight="1" x14ac:dyDescent="0.2">
      <c r="A1026" s="4">
        <v>990</v>
      </c>
      <c r="B1026" s="4" t="str">
        <f t="shared" si="4"/>
        <v>Richard Horvitz and Erica Hartman Horvitz Foundation_State Policy Network20202500</v>
      </c>
      <c r="C1026" s="4" t="str">
        <f ca="1">IFERROR(__xludf.DUMMYFUNCTION("ARRAY_CONSTRAIN(ARRAYFORMULA(SINGLE(TEXTJOIN(""_"",TRUE,D1026,G1026))), 1, 1)"),"Richard Horvitz and Erica Hartman Horvitz Foundation_2020")</f>
        <v>Richard Horvitz and Erica Hartman Horvitz Foundation_2020</v>
      </c>
      <c r="D1026" s="4" t="s">
        <v>82</v>
      </c>
      <c r="E1026" s="8" t="s">
        <v>46</v>
      </c>
      <c r="F1026" s="6">
        <v>2500</v>
      </c>
      <c r="G1026" s="4">
        <v>2020</v>
      </c>
      <c r="H1026" s="4" t="s">
        <v>361</v>
      </c>
    </row>
    <row r="1027" spans="1:8" ht="15.75" customHeight="1" x14ac:dyDescent="0.2">
      <c r="A1027" s="4">
        <v>990</v>
      </c>
      <c r="B1027" s="4" t="str">
        <f t="shared" si="4"/>
        <v>Richard Horvitz and Erica Hartman Horvitz Foundation_State Policy Network20202500</v>
      </c>
      <c r="C1027" s="4" t="str">
        <f ca="1">IFERROR(__xludf.DUMMYFUNCTION("ARRAY_CONSTRAIN(ARRAYFORMULA(SINGLE(TEXTJOIN(""_"",TRUE,D1027,G1027))), 1, 1)"),"Richard Horvitz and Erica Hartman Horvitz Foundation_2020")</f>
        <v>Richard Horvitz and Erica Hartman Horvitz Foundation_2020</v>
      </c>
      <c r="D1027" s="4" t="s">
        <v>82</v>
      </c>
      <c r="E1027" s="8" t="s">
        <v>46</v>
      </c>
      <c r="F1027" s="6">
        <v>2500</v>
      </c>
      <c r="G1027" s="4">
        <v>2020</v>
      </c>
      <c r="H1027" s="4" t="s">
        <v>361</v>
      </c>
    </row>
    <row r="1028" spans="1:8" ht="15.75" customHeight="1" x14ac:dyDescent="0.2">
      <c r="A1028" s="4">
        <v>990</v>
      </c>
      <c r="B1028" s="4" t="str">
        <f t="shared" si="4"/>
        <v>Richard Horvitz and Erica Hartman Horvitz Foundation_State Policy Network20192500</v>
      </c>
      <c r="C1028" s="4" t="str">
        <f ca="1">IFERROR(__xludf.DUMMYFUNCTION("ARRAY_CONSTRAIN(ARRAYFORMULA(SINGLE(TEXTJOIN(""_"",TRUE,D1028,G1028))), 1, 1)"),"Richard Horvitz and Erica Hartman Horvitz Foundation_2019")</f>
        <v>Richard Horvitz and Erica Hartman Horvitz Foundation_2019</v>
      </c>
      <c r="D1028" s="4" t="s">
        <v>82</v>
      </c>
      <c r="E1028" s="8" t="s">
        <v>46</v>
      </c>
      <c r="F1028" s="6">
        <v>2500</v>
      </c>
      <c r="G1028" s="4">
        <v>2019</v>
      </c>
      <c r="H1028" s="4" t="s">
        <v>361</v>
      </c>
    </row>
    <row r="1029" spans="1:8" ht="15.75" customHeight="1" x14ac:dyDescent="0.2">
      <c r="A1029" s="4">
        <v>990</v>
      </c>
      <c r="B1029" s="4" t="str">
        <f t="shared" si="4"/>
        <v>Richard Horvitz and Erica Hartman Horvitz Foundation_State Policy Network20192500</v>
      </c>
      <c r="C1029" s="4" t="str">
        <f ca="1">IFERROR(__xludf.DUMMYFUNCTION("ARRAY_CONSTRAIN(ARRAYFORMULA(SINGLE(TEXTJOIN(""_"",TRUE,D1029,G1029))), 1, 1)"),"Richard Horvitz and Erica Hartman Horvitz Foundation_2019")</f>
        <v>Richard Horvitz and Erica Hartman Horvitz Foundation_2019</v>
      </c>
      <c r="D1029" s="4" t="s">
        <v>82</v>
      </c>
      <c r="E1029" s="8" t="s">
        <v>46</v>
      </c>
      <c r="F1029" s="6">
        <v>2500</v>
      </c>
      <c r="G1029" s="4">
        <v>2019</v>
      </c>
      <c r="H1029" s="4" t="s">
        <v>361</v>
      </c>
    </row>
    <row r="1030" spans="1:8" ht="15.75" customHeight="1" x14ac:dyDescent="0.2">
      <c r="A1030" s="4">
        <v>990</v>
      </c>
      <c r="B1030" s="4" t="str">
        <f t="shared" si="4"/>
        <v>Richard Horvitz and Erica Hartman Horvitz Foundation_State Policy Network20182500</v>
      </c>
      <c r="C1030" s="4" t="str">
        <f ca="1">IFERROR(__xludf.DUMMYFUNCTION("ARRAY_CONSTRAIN(ARRAYFORMULA(SINGLE(TEXTJOIN(""_"",TRUE,D1030,G1030))), 1, 1)"),"Richard Horvitz and Erica Hartman Horvitz Foundation_2018")</f>
        <v>Richard Horvitz and Erica Hartman Horvitz Foundation_2018</v>
      </c>
      <c r="D1030" s="4" t="s">
        <v>82</v>
      </c>
      <c r="E1030" s="8" t="s">
        <v>46</v>
      </c>
      <c r="F1030" s="6">
        <v>2500</v>
      </c>
      <c r="G1030" s="4">
        <v>2018</v>
      </c>
      <c r="H1030" s="4" t="s">
        <v>361</v>
      </c>
    </row>
    <row r="1031" spans="1:8" ht="15.75" customHeight="1" x14ac:dyDescent="0.2">
      <c r="A1031" s="4">
        <v>990</v>
      </c>
      <c r="B1031" s="4" t="str">
        <f t="shared" si="4"/>
        <v>Richard Horvitz and Erica Hartman Horvitz Foundation_State Policy Network20185000</v>
      </c>
      <c r="C1031" s="4" t="str">
        <f ca="1">IFERROR(__xludf.DUMMYFUNCTION("ARRAY_CONSTRAIN(ARRAYFORMULA(SINGLE(TEXTJOIN(""_"",TRUE,D1031,G1031))), 1, 1)"),"Richard Horvitz and Erica Hartman Horvitz Foundation_2018")</f>
        <v>Richard Horvitz and Erica Hartman Horvitz Foundation_2018</v>
      </c>
      <c r="D1031" s="4" t="s">
        <v>82</v>
      </c>
      <c r="E1031" s="8" t="s">
        <v>46</v>
      </c>
      <c r="F1031" s="6">
        <v>5000</v>
      </c>
      <c r="G1031" s="4">
        <v>2018</v>
      </c>
      <c r="H1031" s="4" t="s">
        <v>361</v>
      </c>
    </row>
    <row r="1032" spans="1:8" ht="15.75" customHeight="1" x14ac:dyDescent="0.2">
      <c r="A1032" s="4">
        <v>990</v>
      </c>
      <c r="B1032" s="4" t="str">
        <f t="shared" si="4"/>
        <v>Richard Horvitz and Erica Hartman Horvitz Foundation_State Policy Network20172500</v>
      </c>
      <c r="C1032" s="4" t="str">
        <f ca="1">IFERROR(__xludf.DUMMYFUNCTION("ARRAY_CONSTRAIN(ARRAYFORMULA(SINGLE(TEXTJOIN(""_"",TRUE,D1032,G1032))), 1, 1)"),"Richard Horvitz and Erica Hartman Horvitz Foundation_2017")</f>
        <v>Richard Horvitz and Erica Hartman Horvitz Foundation_2017</v>
      </c>
      <c r="D1032" s="4" t="s">
        <v>82</v>
      </c>
      <c r="E1032" s="8" t="s">
        <v>46</v>
      </c>
      <c r="F1032" s="6">
        <v>2500</v>
      </c>
      <c r="G1032" s="4">
        <v>2017</v>
      </c>
      <c r="H1032" s="4" t="s">
        <v>361</v>
      </c>
    </row>
    <row r="1033" spans="1:8" ht="15.75" customHeight="1" x14ac:dyDescent="0.2">
      <c r="A1033" s="4">
        <v>990</v>
      </c>
      <c r="B1033" s="4" t="str">
        <f t="shared" si="4"/>
        <v>Richard Horvitz and Erica Hartman Horvitz Foundation_State Policy Network20162500</v>
      </c>
      <c r="C1033" s="4" t="str">
        <f ca="1">IFERROR(__xludf.DUMMYFUNCTION("ARRAY_CONSTRAIN(ARRAYFORMULA(SINGLE(TEXTJOIN(""_"",TRUE,D1033,G1033))), 1, 1)"),"Richard Horvitz and Erica Hartman Horvitz Foundation_2016")</f>
        <v>Richard Horvitz and Erica Hartman Horvitz Foundation_2016</v>
      </c>
      <c r="D1033" s="4" t="s">
        <v>82</v>
      </c>
      <c r="E1033" s="8" t="s">
        <v>46</v>
      </c>
      <c r="F1033" s="6">
        <v>2500</v>
      </c>
      <c r="G1033" s="4">
        <v>2016</v>
      </c>
      <c r="H1033" s="4" t="s">
        <v>361</v>
      </c>
    </row>
    <row r="1034" spans="1:8" ht="15.75" customHeight="1" x14ac:dyDescent="0.2">
      <c r="A1034" s="4">
        <v>990</v>
      </c>
      <c r="B1034" s="4" t="str">
        <f t="shared" si="4"/>
        <v>Richard Horvitz and Erica Hartman Horvitz Foundation_State Policy Network20162500</v>
      </c>
      <c r="C1034" s="4" t="str">
        <f ca="1">IFERROR(__xludf.DUMMYFUNCTION("ARRAY_CONSTRAIN(ARRAYFORMULA(SINGLE(TEXTJOIN(""_"",TRUE,D1034,G1034))), 1, 1)"),"Richard Horvitz and Erica Hartman Horvitz Foundation_2016")</f>
        <v>Richard Horvitz and Erica Hartman Horvitz Foundation_2016</v>
      </c>
      <c r="D1034" s="4" t="s">
        <v>82</v>
      </c>
      <c r="E1034" s="8" t="s">
        <v>46</v>
      </c>
      <c r="F1034" s="6">
        <v>2500</v>
      </c>
      <c r="G1034" s="4">
        <v>2016</v>
      </c>
      <c r="H1034" s="4" t="s">
        <v>361</v>
      </c>
    </row>
    <row r="1035" spans="1:8" ht="15.75" customHeight="1" x14ac:dyDescent="0.2">
      <c r="A1035" s="4">
        <v>990</v>
      </c>
      <c r="B1035" s="4" t="str">
        <f t="shared" si="4"/>
        <v>Richard Horvitz and Erica Hartman Horvitz Foundation_State Policy Network20155000</v>
      </c>
      <c r="C1035" s="4" t="str">
        <f ca="1">IFERROR(__xludf.DUMMYFUNCTION("ARRAY_CONSTRAIN(ARRAYFORMULA(SINGLE(TEXTJOIN(""_"",TRUE,D1035,G1035))), 1, 1)"),"Richard Horvitz and Erica Hartman Horvitz Foundation_2015")</f>
        <v>Richard Horvitz and Erica Hartman Horvitz Foundation_2015</v>
      </c>
      <c r="D1035" s="4" t="s">
        <v>82</v>
      </c>
      <c r="E1035" s="8" t="s">
        <v>46</v>
      </c>
      <c r="F1035" s="6">
        <v>5000</v>
      </c>
      <c r="G1035" s="4">
        <v>2015</v>
      </c>
      <c r="H1035" s="4" t="s">
        <v>361</v>
      </c>
    </row>
    <row r="1036" spans="1:8" ht="15.75" customHeight="1" x14ac:dyDescent="0.2">
      <c r="A1036" s="4">
        <v>990</v>
      </c>
      <c r="B1036" s="4" t="str">
        <f t="shared" si="4"/>
        <v>Richard Horvitz and Erica Hartman Horvitz Foundation_State Policy Network20143000</v>
      </c>
      <c r="C1036" s="4" t="str">
        <f ca="1">IFERROR(__xludf.DUMMYFUNCTION("ARRAY_CONSTRAIN(ARRAYFORMULA(SINGLE(TEXTJOIN(""_"",TRUE,D1036,G1036))), 1, 1)"),"Richard Horvitz and Erica Hartman Horvitz Foundation_2014")</f>
        <v>Richard Horvitz and Erica Hartman Horvitz Foundation_2014</v>
      </c>
      <c r="D1036" s="4" t="s">
        <v>82</v>
      </c>
      <c r="E1036" s="8" t="s">
        <v>46</v>
      </c>
      <c r="F1036" s="6">
        <v>3000</v>
      </c>
      <c r="G1036" s="4">
        <v>2014</v>
      </c>
      <c r="H1036" s="4" t="s">
        <v>361</v>
      </c>
    </row>
    <row r="1037" spans="1:8" ht="15.75" customHeight="1" x14ac:dyDescent="0.2">
      <c r="A1037" s="4">
        <v>990</v>
      </c>
      <c r="B1037" s="4" t="str">
        <f t="shared" si="4"/>
        <v>Richard Horvitz and Erica Hartman Horvitz Foundation_State Policy Network2013250</v>
      </c>
      <c r="C1037" s="4" t="str">
        <f ca="1">IFERROR(__xludf.DUMMYFUNCTION("ARRAY_CONSTRAIN(ARRAYFORMULA(SINGLE(TEXTJOIN(""_"",TRUE,D1037,G1037))), 1, 1)"),"Richard Horvitz and Erica Hartman Horvitz Foundation_2013")</f>
        <v>Richard Horvitz and Erica Hartman Horvitz Foundation_2013</v>
      </c>
      <c r="D1037" s="4" t="s">
        <v>82</v>
      </c>
      <c r="E1037" s="8" t="s">
        <v>46</v>
      </c>
      <c r="F1037" s="6">
        <v>250</v>
      </c>
      <c r="G1037" s="4">
        <v>2013</v>
      </c>
      <c r="H1037" s="4" t="s">
        <v>361</v>
      </c>
    </row>
    <row r="1038" spans="1:8" ht="15.75" customHeight="1" x14ac:dyDescent="0.2">
      <c r="A1038" s="4">
        <v>990</v>
      </c>
      <c r="B1038" s="4" t="str">
        <f t="shared" si="4"/>
        <v>Richard Horvitz and Erica Hartman Horvitz Foundation_State Policy Network2012250</v>
      </c>
      <c r="C1038" s="4" t="str">
        <f ca="1">IFERROR(__xludf.DUMMYFUNCTION("ARRAY_CONSTRAIN(ARRAYFORMULA(SINGLE(TEXTJOIN(""_"",TRUE,D1038,G1038))), 1, 1)"),"Richard Horvitz and Erica Hartman Horvitz Foundation_2012")</f>
        <v>Richard Horvitz and Erica Hartman Horvitz Foundation_2012</v>
      </c>
      <c r="D1038" s="4" t="s">
        <v>82</v>
      </c>
      <c r="E1038" s="8" t="s">
        <v>46</v>
      </c>
      <c r="F1038" s="6">
        <v>250</v>
      </c>
      <c r="G1038" s="4">
        <v>2012</v>
      </c>
      <c r="H1038" s="4" t="s">
        <v>361</v>
      </c>
    </row>
    <row r="1039" spans="1:8" ht="15.75" customHeight="1" x14ac:dyDescent="0.2">
      <c r="A1039" s="4">
        <v>990</v>
      </c>
      <c r="B1039" s="4" t="str">
        <f t="shared" si="4"/>
        <v>Richard Horvitz and Erica Hartman Horvitz Foundation_State Policy Network2011250</v>
      </c>
      <c r="C1039" s="4" t="str">
        <f ca="1">IFERROR(__xludf.DUMMYFUNCTION("ARRAY_CONSTRAIN(ARRAYFORMULA(SINGLE(TEXTJOIN(""_"",TRUE,D1039,G1039))), 1, 1)"),"Richard Horvitz and Erica Hartman Horvitz Foundation_2011")</f>
        <v>Richard Horvitz and Erica Hartman Horvitz Foundation_2011</v>
      </c>
      <c r="D1039" s="4" t="s">
        <v>82</v>
      </c>
      <c r="E1039" s="8" t="s">
        <v>46</v>
      </c>
      <c r="F1039" s="6">
        <v>250</v>
      </c>
      <c r="G1039" s="4">
        <v>2011</v>
      </c>
      <c r="H1039" s="4" t="s">
        <v>361</v>
      </c>
    </row>
    <row r="1040" spans="1:8" ht="15.75" customHeight="1" x14ac:dyDescent="0.2">
      <c r="A1040" s="5" t="s">
        <v>688</v>
      </c>
      <c r="B1040" s="4" t="str">
        <f t="shared" si="4"/>
        <v>Richard M Allen Charitable Trust_State Policy Network2022500</v>
      </c>
      <c r="C1040" s="4" t="str">
        <f ca="1">IFERROR(__xludf.DUMMYFUNCTION("ARRAY_CONSTRAIN(ARRAYFORMULA(SINGLE(TEXTJOIN(""_"",TRUE,D1040,G1040))), 1, 1)"),"Richard M Allen Charitable Trust_2022")</f>
        <v>Richard M Allen Charitable Trust_2022</v>
      </c>
      <c r="D1040" s="4" t="s">
        <v>180</v>
      </c>
      <c r="E1040" s="8" t="s">
        <v>46</v>
      </c>
      <c r="F1040" s="6">
        <v>500</v>
      </c>
      <c r="G1040" s="4">
        <v>2022</v>
      </c>
      <c r="H1040" s="4" t="s">
        <v>361</v>
      </c>
    </row>
    <row r="1041" spans="1:8" ht="15.75" customHeight="1" x14ac:dyDescent="0.2">
      <c r="A1041" s="5" t="s">
        <v>689</v>
      </c>
      <c r="B1041" s="4" t="str">
        <f t="shared" si="4"/>
        <v>Richard M Allen Charitable Trust_State Policy Network2021500</v>
      </c>
      <c r="C1041" s="4" t="str">
        <f ca="1">IFERROR(__xludf.DUMMYFUNCTION("ARRAY_CONSTRAIN(ARRAYFORMULA(SINGLE(TEXTJOIN(""_"",TRUE,D1041,G1041))), 1, 1)"),"Richard M Allen Charitable Trust_2021")</f>
        <v>Richard M Allen Charitable Trust_2021</v>
      </c>
      <c r="D1041" s="4" t="s">
        <v>180</v>
      </c>
      <c r="E1041" s="8" t="s">
        <v>46</v>
      </c>
      <c r="F1041" s="6">
        <v>500</v>
      </c>
      <c r="G1041" s="4">
        <v>2021</v>
      </c>
      <c r="H1041" s="4" t="s">
        <v>361</v>
      </c>
    </row>
    <row r="1042" spans="1:8" ht="15.75" customHeight="1" x14ac:dyDescent="0.2">
      <c r="A1042" s="4">
        <v>990</v>
      </c>
      <c r="B1042" s="4" t="str">
        <f t="shared" si="4"/>
        <v>Richard Seth Staley Educational Foundation_State Policy Network20167000</v>
      </c>
      <c r="C1042" s="4" t="str">
        <f ca="1">IFERROR(__xludf.DUMMYFUNCTION("ARRAY_CONSTRAIN(ARRAYFORMULA(SINGLE(TEXTJOIN(""_"",TRUE,D1042,G1042))), 1, 1)"),"Richard Seth Staley Educational Foundation_2016")</f>
        <v>Richard Seth Staley Educational Foundation_2016</v>
      </c>
      <c r="D1042" s="4" t="s">
        <v>97</v>
      </c>
      <c r="E1042" s="8" t="s">
        <v>46</v>
      </c>
      <c r="F1042" s="6">
        <v>7000</v>
      </c>
      <c r="G1042" s="4">
        <v>2016</v>
      </c>
      <c r="H1042" s="4" t="s">
        <v>361</v>
      </c>
    </row>
    <row r="1043" spans="1:8" ht="15.75" customHeight="1" x14ac:dyDescent="0.2">
      <c r="A1043" s="4">
        <v>990</v>
      </c>
      <c r="B1043" s="4" t="str">
        <f t="shared" si="4"/>
        <v>Richard Seth Staley Educational Foundation_State Policy Network20156000</v>
      </c>
      <c r="C1043" s="4" t="str">
        <f ca="1">IFERROR(__xludf.DUMMYFUNCTION("ARRAY_CONSTRAIN(ARRAYFORMULA(SINGLE(TEXTJOIN(""_"",TRUE,D1043,G1043))), 1, 1)"),"Richard Seth Staley Educational Foundation_2015")</f>
        <v>Richard Seth Staley Educational Foundation_2015</v>
      </c>
      <c r="D1043" s="4" t="s">
        <v>97</v>
      </c>
      <c r="E1043" s="8" t="s">
        <v>46</v>
      </c>
      <c r="F1043" s="6">
        <v>6000</v>
      </c>
      <c r="G1043" s="4">
        <v>2015</v>
      </c>
      <c r="H1043" s="4" t="s">
        <v>361</v>
      </c>
    </row>
    <row r="1044" spans="1:8" ht="15.75" customHeight="1" x14ac:dyDescent="0.2">
      <c r="A1044" s="4">
        <v>990</v>
      </c>
      <c r="B1044" s="4" t="str">
        <f t="shared" si="4"/>
        <v>Richard Seth Staley Educational Foundation_State Policy Network20142500</v>
      </c>
      <c r="C1044" s="4" t="str">
        <f ca="1">IFERROR(__xludf.DUMMYFUNCTION("ARRAY_CONSTRAIN(ARRAYFORMULA(SINGLE(TEXTJOIN(""_"",TRUE,D1044,G1044))), 1, 1)"),"Richard Seth Staley Educational Foundation_2014")</f>
        <v>Richard Seth Staley Educational Foundation_2014</v>
      </c>
      <c r="D1044" s="4" t="s">
        <v>97</v>
      </c>
      <c r="E1044" s="8" t="s">
        <v>46</v>
      </c>
      <c r="F1044" s="6">
        <v>2500</v>
      </c>
      <c r="G1044" s="4">
        <v>2014</v>
      </c>
      <c r="H1044" s="4" t="s">
        <v>361</v>
      </c>
    </row>
    <row r="1045" spans="1:8" ht="15.75" customHeight="1" x14ac:dyDescent="0.2">
      <c r="A1045" s="4">
        <v>990</v>
      </c>
      <c r="B1045" s="4" t="str">
        <f t="shared" si="4"/>
        <v>Richard Seth Staley Educational Foundation_State Policy Network20133608.94</v>
      </c>
      <c r="C1045" s="4" t="str">
        <f ca="1">IFERROR(__xludf.DUMMYFUNCTION("ARRAY_CONSTRAIN(ARRAYFORMULA(SINGLE(TEXTJOIN(""_"",TRUE,D1045,G1045))), 1, 1)"),"Richard Seth Staley Educational Foundation_2013")</f>
        <v>Richard Seth Staley Educational Foundation_2013</v>
      </c>
      <c r="D1045" s="4" t="s">
        <v>97</v>
      </c>
      <c r="E1045" s="8" t="s">
        <v>46</v>
      </c>
      <c r="F1045" s="6">
        <v>3608.94</v>
      </c>
      <c r="G1045" s="4">
        <v>2013</v>
      </c>
      <c r="H1045" s="4" t="s">
        <v>361</v>
      </c>
    </row>
    <row r="1046" spans="1:8" ht="15.75" customHeight="1" x14ac:dyDescent="0.2">
      <c r="A1046" s="4">
        <v>990</v>
      </c>
      <c r="B1046" s="4" t="str">
        <f t="shared" si="4"/>
        <v>Richard Seth Staley Educational Foundation_State Policy Network20114783.06</v>
      </c>
      <c r="C1046" s="4" t="str">
        <f ca="1">IFERROR(__xludf.DUMMYFUNCTION("ARRAY_CONSTRAIN(ARRAYFORMULA(SINGLE(TEXTJOIN(""_"",TRUE,D1046,G1046))), 1, 1)"),"Richard Seth Staley Educational Foundation_2011")</f>
        <v>Richard Seth Staley Educational Foundation_2011</v>
      </c>
      <c r="D1046" s="4" t="s">
        <v>97</v>
      </c>
      <c r="E1046" s="8" t="s">
        <v>46</v>
      </c>
      <c r="F1046" s="6">
        <v>4783.0600000000004</v>
      </c>
      <c r="G1046" s="4">
        <v>2011</v>
      </c>
      <c r="H1046" s="4" t="s">
        <v>361</v>
      </c>
    </row>
    <row r="1047" spans="1:8" ht="15.75" customHeight="1" x14ac:dyDescent="0.2">
      <c r="A1047" s="4">
        <v>990</v>
      </c>
      <c r="B1047" s="4" t="str">
        <f t="shared" si="4"/>
        <v>Richard Seth Staley Educational Foundation_State Policy Network2009100</v>
      </c>
      <c r="C1047" s="4" t="str">
        <f ca="1">IFERROR(__xludf.DUMMYFUNCTION("ARRAY_CONSTRAIN(ARRAYFORMULA(SINGLE(TEXTJOIN(""_"",TRUE,D1047,G1047))), 1, 1)"),"Richard Seth Staley Educational Foundation_2009")</f>
        <v>Richard Seth Staley Educational Foundation_2009</v>
      </c>
      <c r="D1047" s="4" t="s">
        <v>97</v>
      </c>
      <c r="E1047" s="8" t="s">
        <v>46</v>
      </c>
      <c r="F1047" s="6">
        <v>100</v>
      </c>
      <c r="G1047" s="4">
        <v>2009</v>
      </c>
      <c r="H1047" s="4" t="s">
        <v>361</v>
      </c>
    </row>
    <row r="1048" spans="1:8" ht="15.75" customHeight="1" x14ac:dyDescent="0.2">
      <c r="A1048" s="5" t="s">
        <v>690</v>
      </c>
      <c r="B1048" s="4" t="str">
        <f t="shared" si="4"/>
        <v>Riklin Charitable Trust_State Policy Network2022250</v>
      </c>
      <c r="C1048" s="4" t="str">
        <f ca="1">IFERROR(__xludf.DUMMYFUNCTION("ARRAY_CONSTRAIN(ARRAYFORMULA(SINGLE(TEXTJOIN(""_"",TRUE,D1048,G1048))), 1, 1)"),"Riklin Charitable Trust_2022")</f>
        <v>Riklin Charitable Trust_2022</v>
      </c>
      <c r="D1048" s="4" t="s">
        <v>179</v>
      </c>
      <c r="E1048" s="8" t="s">
        <v>46</v>
      </c>
      <c r="F1048" s="6">
        <v>250</v>
      </c>
      <c r="G1048" s="4">
        <v>2022</v>
      </c>
      <c r="H1048" s="4" t="s">
        <v>361</v>
      </c>
    </row>
    <row r="1049" spans="1:8" ht="15.75" customHeight="1" x14ac:dyDescent="0.2">
      <c r="A1049" s="5" t="s">
        <v>691</v>
      </c>
      <c r="B1049" s="4" t="str">
        <f t="shared" si="4"/>
        <v>Riklin Charitable Trust_State Policy Network2021250</v>
      </c>
      <c r="C1049" s="4" t="str">
        <f ca="1">IFERROR(__xludf.DUMMYFUNCTION("ARRAY_CONSTRAIN(ARRAYFORMULA(SINGLE(TEXTJOIN(""_"",TRUE,D1049,G1049))), 1, 1)"),"Riklin Charitable Trust_2021")</f>
        <v>Riklin Charitable Trust_2021</v>
      </c>
      <c r="D1049" s="4" t="s">
        <v>179</v>
      </c>
      <c r="E1049" s="8" t="s">
        <v>46</v>
      </c>
      <c r="F1049" s="6">
        <v>250</v>
      </c>
      <c r="G1049" s="4">
        <v>2021</v>
      </c>
      <c r="H1049" s="4" t="s">
        <v>361</v>
      </c>
    </row>
    <row r="1050" spans="1:8" ht="15.75" customHeight="1" x14ac:dyDescent="0.2">
      <c r="A1050" s="5" t="s">
        <v>692</v>
      </c>
      <c r="B1050" s="4" t="str">
        <f t="shared" si="4"/>
        <v>Riklin Charitable Trust_State Policy Network2020250</v>
      </c>
      <c r="C1050" s="4" t="str">
        <f ca="1">IFERROR(__xludf.DUMMYFUNCTION("ARRAY_CONSTRAIN(ARRAYFORMULA(SINGLE(TEXTJOIN(""_"",TRUE,D1050,G1050))), 1, 1)"),"Riklin Charitable Trust_2020")</f>
        <v>Riklin Charitable Trust_2020</v>
      </c>
      <c r="D1050" s="4" t="s">
        <v>179</v>
      </c>
      <c r="E1050" s="8" t="s">
        <v>46</v>
      </c>
      <c r="F1050" s="6">
        <v>250</v>
      </c>
      <c r="G1050" s="4">
        <v>2020</v>
      </c>
      <c r="H1050" s="4" t="s">
        <v>361</v>
      </c>
    </row>
    <row r="1051" spans="1:8" ht="15.75" customHeight="1" x14ac:dyDescent="0.2">
      <c r="A1051" s="5" t="s">
        <v>693</v>
      </c>
      <c r="B1051" s="4" t="str">
        <f t="shared" si="4"/>
        <v>Riklin Charitable Trust_State Policy Network2019250</v>
      </c>
      <c r="C1051" s="4" t="str">
        <f ca="1">IFERROR(__xludf.DUMMYFUNCTION("ARRAY_CONSTRAIN(ARRAYFORMULA(SINGLE(TEXTJOIN(""_"",TRUE,D1051,G1051))), 1, 1)"),"Riklin Charitable Trust_2019")</f>
        <v>Riklin Charitable Trust_2019</v>
      </c>
      <c r="D1051" s="4" t="s">
        <v>179</v>
      </c>
      <c r="E1051" s="8" t="s">
        <v>46</v>
      </c>
      <c r="F1051" s="6">
        <v>250</v>
      </c>
      <c r="G1051" s="4">
        <v>2019</v>
      </c>
      <c r="H1051" s="4" t="s">
        <v>361</v>
      </c>
    </row>
    <row r="1052" spans="1:8" ht="15.75" customHeight="1" x14ac:dyDescent="0.2">
      <c r="A1052" s="5" t="s">
        <v>694</v>
      </c>
      <c r="B1052" s="4" t="str">
        <f t="shared" si="4"/>
        <v>Rising Phoenix Foundation_State Policy Network20191000</v>
      </c>
      <c r="C1052" s="4" t="str">
        <f ca="1">IFERROR(__xludf.DUMMYFUNCTION("ARRAY_CONSTRAIN(ARRAYFORMULA(SINGLE(TEXTJOIN(""_"",TRUE,D1052,G1052))), 1, 1)"),"Rising Phoenix Foundation_2019")</f>
        <v>Rising Phoenix Foundation_2019</v>
      </c>
      <c r="D1052" s="4" t="s">
        <v>87</v>
      </c>
      <c r="E1052" s="8" t="s">
        <v>46</v>
      </c>
      <c r="F1052" s="6">
        <v>1000</v>
      </c>
      <c r="G1052" s="4">
        <v>2019</v>
      </c>
      <c r="H1052" s="4" t="s">
        <v>361</v>
      </c>
    </row>
    <row r="1053" spans="1:8" ht="15.75" customHeight="1" x14ac:dyDescent="0.2">
      <c r="A1053" s="5" t="s">
        <v>695</v>
      </c>
      <c r="B1053" s="4" t="str">
        <f t="shared" si="4"/>
        <v>Rising Phoenix Foundation_State Policy Network2018750</v>
      </c>
      <c r="C1053" s="4" t="str">
        <f ca="1">IFERROR(__xludf.DUMMYFUNCTION("ARRAY_CONSTRAIN(ARRAYFORMULA(SINGLE(TEXTJOIN(""_"",TRUE,D1053,G1053))), 1, 1)"),"Rising Phoenix Foundation_2018")</f>
        <v>Rising Phoenix Foundation_2018</v>
      </c>
      <c r="D1053" s="4" t="s">
        <v>87</v>
      </c>
      <c r="E1053" s="8" t="s">
        <v>46</v>
      </c>
      <c r="F1053" s="6">
        <v>750</v>
      </c>
      <c r="G1053" s="4">
        <v>2018</v>
      </c>
      <c r="H1053" s="4" t="s">
        <v>361</v>
      </c>
    </row>
    <row r="1054" spans="1:8" ht="15.75" customHeight="1" x14ac:dyDescent="0.2">
      <c r="A1054" s="5" t="s">
        <v>696</v>
      </c>
      <c r="B1054" s="4" t="str">
        <f t="shared" si="4"/>
        <v>Rising Phoenix Foundation_State Policy Network2017500</v>
      </c>
      <c r="C1054" s="4" t="str">
        <f ca="1">IFERROR(__xludf.DUMMYFUNCTION("ARRAY_CONSTRAIN(ARRAYFORMULA(SINGLE(TEXTJOIN(""_"",TRUE,D1054,G1054))), 1, 1)"),"Rising Phoenix Foundation_2017")</f>
        <v>Rising Phoenix Foundation_2017</v>
      </c>
      <c r="D1054" s="4" t="s">
        <v>87</v>
      </c>
      <c r="E1054" s="8" t="s">
        <v>46</v>
      </c>
      <c r="F1054" s="6">
        <v>500</v>
      </c>
      <c r="G1054" s="4">
        <v>2017</v>
      </c>
      <c r="H1054" s="4" t="s">
        <v>361</v>
      </c>
    </row>
    <row r="1055" spans="1:8" ht="15.75" customHeight="1" x14ac:dyDescent="0.2">
      <c r="A1055" s="5" t="s">
        <v>697</v>
      </c>
      <c r="B1055" s="4" t="str">
        <f t="shared" si="4"/>
        <v>Rising Phoenix Foundation_State Policy Network20161000</v>
      </c>
      <c r="C1055" s="4" t="str">
        <f ca="1">IFERROR(__xludf.DUMMYFUNCTION("ARRAY_CONSTRAIN(ARRAYFORMULA(SINGLE(TEXTJOIN(""_"",TRUE,D1055,G1055))), 1, 1)"),"Rising Phoenix Foundation_2016")</f>
        <v>Rising Phoenix Foundation_2016</v>
      </c>
      <c r="D1055" s="4" t="s">
        <v>87</v>
      </c>
      <c r="E1055" s="8" t="s">
        <v>46</v>
      </c>
      <c r="F1055" s="6">
        <v>1000</v>
      </c>
      <c r="G1055" s="4">
        <v>2016</v>
      </c>
      <c r="H1055" s="4" t="s">
        <v>361</v>
      </c>
    </row>
    <row r="1056" spans="1:8" ht="15.75" customHeight="1" x14ac:dyDescent="0.2">
      <c r="A1056" s="5" t="s">
        <v>698</v>
      </c>
      <c r="B1056" s="4" t="str">
        <f t="shared" si="4"/>
        <v>Rising Phoenix Foundation_State Policy Network20152750</v>
      </c>
      <c r="C1056" s="4" t="str">
        <f ca="1">IFERROR(__xludf.DUMMYFUNCTION("ARRAY_CONSTRAIN(ARRAYFORMULA(SINGLE(TEXTJOIN(""_"",TRUE,D1056,G1056))), 1, 1)"),"Rising Phoenix Foundation_2015")</f>
        <v>Rising Phoenix Foundation_2015</v>
      </c>
      <c r="D1056" s="4" t="s">
        <v>87</v>
      </c>
      <c r="E1056" s="8" t="s">
        <v>46</v>
      </c>
      <c r="F1056" s="6">
        <v>2750</v>
      </c>
      <c r="G1056" s="4">
        <v>2015</v>
      </c>
      <c r="H1056" s="4" t="s">
        <v>361</v>
      </c>
    </row>
    <row r="1057" spans="1:8" ht="15.75" customHeight="1" x14ac:dyDescent="0.2">
      <c r="A1057" s="5" t="s">
        <v>699</v>
      </c>
      <c r="B1057" s="4" t="str">
        <f t="shared" si="4"/>
        <v>Rising Phoenix Foundation_State Policy Network20131100</v>
      </c>
      <c r="C1057" s="4" t="str">
        <f ca="1">IFERROR(__xludf.DUMMYFUNCTION("ARRAY_CONSTRAIN(ARRAYFORMULA(SINGLE(TEXTJOIN(""_"",TRUE,D1057,G1057))), 1, 1)"),"Rising Phoenix Foundation_2013")</f>
        <v>Rising Phoenix Foundation_2013</v>
      </c>
      <c r="D1057" s="4" t="s">
        <v>87</v>
      </c>
      <c r="E1057" s="8" t="s">
        <v>46</v>
      </c>
      <c r="F1057" s="6">
        <v>1100</v>
      </c>
      <c r="G1057" s="4">
        <v>2013</v>
      </c>
      <c r="H1057" s="4" t="s">
        <v>361</v>
      </c>
    </row>
    <row r="1058" spans="1:8" ht="15.75" customHeight="1" x14ac:dyDescent="0.2">
      <c r="A1058" s="5" t="s">
        <v>700</v>
      </c>
      <c r="B1058" s="4" t="str">
        <f t="shared" si="4"/>
        <v>Rising Phoenix Foundation_State Policy Network20121000</v>
      </c>
      <c r="C1058" s="4" t="str">
        <f ca="1">IFERROR(__xludf.DUMMYFUNCTION("ARRAY_CONSTRAIN(ARRAYFORMULA(SINGLE(TEXTJOIN(""_"",TRUE,D1058,G1058))), 1, 1)"),"Rising Phoenix Foundation_2012")</f>
        <v>Rising Phoenix Foundation_2012</v>
      </c>
      <c r="D1058" s="4" t="s">
        <v>87</v>
      </c>
      <c r="E1058" s="8" t="s">
        <v>46</v>
      </c>
      <c r="F1058" s="6">
        <v>1000</v>
      </c>
      <c r="G1058" s="4">
        <v>2012</v>
      </c>
      <c r="H1058" s="4" t="s">
        <v>361</v>
      </c>
    </row>
    <row r="1059" spans="1:8" ht="15.75" customHeight="1" x14ac:dyDescent="0.2">
      <c r="A1059" s="5" t="s">
        <v>701</v>
      </c>
      <c r="B1059" s="4" t="str">
        <f t="shared" si="4"/>
        <v>Rising Phoenix Foundation_State Policy Network20111500</v>
      </c>
      <c r="C1059" s="4" t="str">
        <f ca="1">IFERROR(__xludf.DUMMYFUNCTION("ARRAY_CONSTRAIN(ARRAYFORMULA(SINGLE(TEXTJOIN(""_"",TRUE,D1059,G1059))), 1, 1)"),"Rising Phoenix Foundation_2011")</f>
        <v>Rising Phoenix Foundation_2011</v>
      </c>
      <c r="D1059" s="4" t="s">
        <v>87</v>
      </c>
      <c r="E1059" s="8" t="s">
        <v>46</v>
      </c>
      <c r="F1059" s="6">
        <v>1500</v>
      </c>
      <c r="G1059" s="4">
        <v>2011</v>
      </c>
      <c r="H1059" s="4" t="s">
        <v>361</v>
      </c>
    </row>
    <row r="1060" spans="1:8" ht="15.75" customHeight="1" x14ac:dyDescent="0.2">
      <c r="A1060" s="5" t="s">
        <v>702</v>
      </c>
      <c r="B1060" s="4" t="str">
        <f t="shared" si="4"/>
        <v>Rising Phoenix Foundation_State Policy Network201010000</v>
      </c>
      <c r="C1060" s="4" t="str">
        <f ca="1">IFERROR(__xludf.DUMMYFUNCTION("ARRAY_CONSTRAIN(ARRAYFORMULA(SINGLE(TEXTJOIN(""_"",TRUE,D1060,G1060))), 1, 1)"),"Rising Phoenix Foundation_2010")</f>
        <v>Rising Phoenix Foundation_2010</v>
      </c>
      <c r="D1060" s="4" t="s">
        <v>87</v>
      </c>
      <c r="E1060" s="8" t="s">
        <v>46</v>
      </c>
      <c r="F1060" s="6">
        <v>10000</v>
      </c>
      <c r="G1060" s="4">
        <v>2010</v>
      </c>
      <c r="H1060" s="4" t="s">
        <v>361</v>
      </c>
    </row>
    <row r="1061" spans="1:8" ht="15.75" customHeight="1" x14ac:dyDescent="0.2">
      <c r="A1061" s="5" t="s">
        <v>703</v>
      </c>
      <c r="B1061" s="4" t="str">
        <f t="shared" si="4"/>
        <v>Rising Phoenix Foundation_State Policy Network200810000</v>
      </c>
      <c r="C1061" s="4" t="str">
        <f ca="1">IFERROR(__xludf.DUMMYFUNCTION("ARRAY_CONSTRAIN(ARRAYFORMULA(SINGLE(TEXTJOIN(""_"",TRUE,D1061,G1061))), 1, 1)"),"Rising Phoenix Foundation_2008")</f>
        <v>Rising Phoenix Foundation_2008</v>
      </c>
      <c r="D1061" s="4" t="s">
        <v>87</v>
      </c>
      <c r="E1061" s="8" t="s">
        <v>46</v>
      </c>
      <c r="F1061" s="6">
        <v>10000</v>
      </c>
      <c r="G1061" s="4">
        <v>2008</v>
      </c>
      <c r="H1061" s="4" t="s">
        <v>361</v>
      </c>
    </row>
    <row r="1062" spans="1:8" ht="15.75" customHeight="1" x14ac:dyDescent="0.2">
      <c r="A1062" s="4">
        <v>990</v>
      </c>
      <c r="B1062" s="4" t="str">
        <f t="shared" si="4"/>
        <v>Robert P Rotella Foundation_State Policy Network20195000</v>
      </c>
      <c r="C1062" s="4" t="str">
        <f ca="1">IFERROR(__xludf.DUMMYFUNCTION("ARRAY_CONSTRAIN(ARRAYFORMULA(SINGLE(TEXTJOIN(""_"",TRUE,D1062,G1062))), 1, 1)"),"Robert P Rotella Foundation_2019")</f>
        <v>Robert P Rotella Foundation_2019</v>
      </c>
      <c r="D1062" s="4" t="s">
        <v>69</v>
      </c>
      <c r="E1062" s="8" t="s">
        <v>46</v>
      </c>
      <c r="F1062" s="6">
        <v>5000</v>
      </c>
      <c r="G1062" s="4">
        <v>2019</v>
      </c>
      <c r="H1062" s="4" t="s">
        <v>361</v>
      </c>
    </row>
    <row r="1063" spans="1:8" ht="15.75" customHeight="1" x14ac:dyDescent="0.2">
      <c r="A1063" s="4">
        <v>990</v>
      </c>
      <c r="B1063" s="4" t="str">
        <f t="shared" si="4"/>
        <v>Robert P Rotella Foundation_State Policy Network201810000</v>
      </c>
      <c r="C1063" s="4" t="str">
        <f ca="1">IFERROR(__xludf.DUMMYFUNCTION("ARRAY_CONSTRAIN(ARRAYFORMULA(SINGLE(TEXTJOIN(""_"",TRUE,D1063,G1063))), 1, 1)"),"Robert P Rotella Foundation_2018")</f>
        <v>Robert P Rotella Foundation_2018</v>
      </c>
      <c r="D1063" s="4" t="s">
        <v>69</v>
      </c>
      <c r="E1063" s="8" t="s">
        <v>46</v>
      </c>
      <c r="F1063" s="6">
        <v>10000</v>
      </c>
      <c r="G1063" s="4">
        <v>2018</v>
      </c>
      <c r="H1063" s="4" t="s">
        <v>361</v>
      </c>
    </row>
    <row r="1064" spans="1:8" ht="15.75" customHeight="1" x14ac:dyDescent="0.2">
      <c r="A1064" s="4">
        <v>990</v>
      </c>
      <c r="B1064" s="4" t="str">
        <f t="shared" si="4"/>
        <v>Robert P Rotella Foundation_State Policy Network20177500</v>
      </c>
      <c r="C1064" s="4" t="str">
        <f ca="1">IFERROR(__xludf.DUMMYFUNCTION("ARRAY_CONSTRAIN(ARRAYFORMULA(SINGLE(TEXTJOIN(""_"",TRUE,D1064,G1064))), 1, 1)"),"Robert P Rotella Foundation_2017")</f>
        <v>Robert P Rotella Foundation_2017</v>
      </c>
      <c r="D1064" s="4" t="s">
        <v>69</v>
      </c>
      <c r="E1064" s="8" t="s">
        <v>46</v>
      </c>
      <c r="F1064" s="6">
        <v>7500</v>
      </c>
      <c r="G1064" s="4">
        <v>2017</v>
      </c>
      <c r="H1064" s="4" t="s">
        <v>361</v>
      </c>
    </row>
    <row r="1065" spans="1:8" ht="15.75" customHeight="1" x14ac:dyDescent="0.2">
      <c r="A1065" s="4">
        <v>990</v>
      </c>
      <c r="B1065" s="4" t="str">
        <f t="shared" si="4"/>
        <v>Robert P Rotella Foundation_State Policy Network20167500</v>
      </c>
      <c r="C1065" s="4" t="str">
        <f ca="1">IFERROR(__xludf.DUMMYFUNCTION("ARRAY_CONSTRAIN(ARRAYFORMULA(SINGLE(TEXTJOIN(""_"",TRUE,D1065,G1065))), 1, 1)"),"Robert P Rotella Foundation_2016")</f>
        <v>Robert P Rotella Foundation_2016</v>
      </c>
      <c r="D1065" s="4" t="s">
        <v>69</v>
      </c>
      <c r="E1065" s="8" t="s">
        <v>46</v>
      </c>
      <c r="F1065" s="6">
        <v>7500</v>
      </c>
      <c r="G1065" s="4">
        <v>2016</v>
      </c>
      <c r="H1065" s="4" t="s">
        <v>361</v>
      </c>
    </row>
    <row r="1066" spans="1:8" ht="15.75" customHeight="1" x14ac:dyDescent="0.2">
      <c r="A1066" s="4">
        <v>990</v>
      </c>
      <c r="B1066" s="4" t="str">
        <f t="shared" si="4"/>
        <v>Robert P Rotella Foundation_State Policy Network20157500</v>
      </c>
      <c r="C1066" s="4" t="str">
        <f ca="1">IFERROR(__xludf.DUMMYFUNCTION("ARRAY_CONSTRAIN(ARRAYFORMULA(SINGLE(TEXTJOIN(""_"",TRUE,D1066,G1066))), 1, 1)"),"Robert P Rotella Foundation_2015")</f>
        <v>Robert P Rotella Foundation_2015</v>
      </c>
      <c r="D1066" s="4" t="s">
        <v>69</v>
      </c>
      <c r="E1066" s="8" t="s">
        <v>46</v>
      </c>
      <c r="F1066" s="6">
        <v>7500</v>
      </c>
      <c r="G1066" s="4">
        <v>2015</v>
      </c>
      <c r="H1066" s="4" t="s">
        <v>361</v>
      </c>
    </row>
    <row r="1067" spans="1:8" ht="15.75" customHeight="1" x14ac:dyDescent="0.2">
      <c r="A1067" s="4">
        <v>990</v>
      </c>
      <c r="B1067" s="4" t="str">
        <f t="shared" si="4"/>
        <v>Robert P Rotella Foundation_State Policy Network20147500</v>
      </c>
      <c r="C1067" s="4" t="str">
        <f ca="1">IFERROR(__xludf.DUMMYFUNCTION("ARRAY_CONSTRAIN(ARRAYFORMULA(SINGLE(TEXTJOIN(""_"",TRUE,D1067,G1067))), 1, 1)"),"Robert P Rotella Foundation_2014")</f>
        <v>Robert P Rotella Foundation_2014</v>
      </c>
      <c r="D1067" s="4" t="s">
        <v>69</v>
      </c>
      <c r="E1067" s="8" t="s">
        <v>46</v>
      </c>
      <c r="F1067" s="6">
        <v>7500</v>
      </c>
      <c r="G1067" s="4">
        <v>2014</v>
      </c>
      <c r="H1067" s="4" t="s">
        <v>361</v>
      </c>
    </row>
    <row r="1068" spans="1:8" ht="15.75" customHeight="1" x14ac:dyDescent="0.2">
      <c r="A1068" s="4">
        <v>990</v>
      </c>
      <c r="B1068" s="4" t="str">
        <f t="shared" si="4"/>
        <v>Robert P Rotella Foundation_State Policy Network20137500</v>
      </c>
      <c r="C1068" s="4" t="str">
        <f ca="1">IFERROR(__xludf.DUMMYFUNCTION("ARRAY_CONSTRAIN(ARRAYFORMULA(SINGLE(TEXTJOIN(""_"",TRUE,D1068,G1068))), 1, 1)"),"Robert P Rotella Foundation_2013")</f>
        <v>Robert P Rotella Foundation_2013</v>
      </c>
      <c r="D1068" s="4" t="s">
        <v>69</v>
      </c>
      <c r="E1068" s="8" t="s">
        <v>46</v>
      </c>
      <c r="F1068" s="6">
        <v>7500</v>
      </c>
      <c r="G1068" s="4">
        <v>2013</v>
      </c>
      <c r="H1068" s="4" t="s">
        <v>361</v>
      </c>
    </row>
    <row r="1069" spans="1:8" ht="15.75" customHeight="1" x14ac:dyDescent="0.2">
      <c r="A1069" s="4" t="s">
        <v>368</v>
      </c>
      <c r="B1069" s="4" t="str">
        <f t="shared" si="4"/>
        <v>Robert P Rotella Foundation_State Policy Network20125000</v>
      </c>
      <c r="C1069" s="4" t="str">
        <f ca="1">IFERROR(__xludf.DUMMYFUNCTION("ARRAY_CONSTRAIN(ARRAYFORMULA(SINGLE(TEXTJOIN(""_"",TRUE,D1069,G1069))), 1, 1)"),"Robert P Rotella Foundation_2012")</f>
        <v>Robert P Rotella Foundation_2012</v>
      </c>
      <c r="D1069" s="4" t="s">
        <v>69</v>
      </c>
      <c r="E1069" s="8" t="s">
        <v>46</v>
      </c>
      <c r="F1069" s="6">
        <v>5000</v>
      </c>
      <c r="G1069" s="4">
        <v>2012</v>
      </c>
      <c r="H1069" s="4" t="s">
        <v>359</v>
      </c>
    </row>
    <row r="1070" spans="1:8" ht="15.75" customHeight="1" x14ac:dyDescent="0.2">
      <c r="A1070" s="4">
        <v>990</v>
      </c>
      <c r="B1070" s="4" t="str">
        <f t="shared" si="4"/>
        <v>Robertson-Finley Foundation_State Policy Network20227000</v>
      </c>
      <c r="C1070" s="4" t="str">
        <f ca="1">IFERROR(__xludf.DUMMYFUNCTION("ARRAY_CONSTRAIN(ARRAYFORMULA(SINGLE(TEXTJOIN(""_"",TRUE,D1070,G1070))), 1, 1)"),"Robertson-Finley Foundation_2022")</f>
        <v>Robertson-Finley Foundation_2022</v>
      </c>
      <c r="D1070" s="4" t="s">
        <v>76</v>
      </c>
      <c r="E1070" s="8" t="s">
        <v>46</v>
      </c>
      <c r="F1070" s="6">
        <v>7000</v>
      </c>
      <c r="G1070" s="4">
        <v>2022</v>
      </c>
      <c r="H1070" s="4" t="s">
        <v>361</v>
      </c>
    </row>
    <row r="1071" spans="1:8" ht="15.75" customHeight="1" x14ac:dyDescent="0.2">
      <c r="A1071" s="4">
        <v>990</v>
      </c>
      <c r="B1071" s="4" t="str">
        <f t="shared" si="4"/>
        <v>Robertson-Finley Foundation_State Policy Network20217000</v>
      </c>
      <c r="C1071" s="4" t="str">
        <f ca="1">IFERROR(__xludf.DUMMYFUNCTION("ARRAY_CONSTRAIN(ARRAYFORMULA(SINGLE(TEXTJOIN(""_"",TRUE,D1071,G1071))), 1, 1)"),"Robertson-Finley Foundation_2021")</f>
        <v>Robertson-Finley Foundation_2021</v>
      </c>
      <c r="D1071" s="4" t="s">
        <v>76</v>
      </c>
      <c r="E1071" s="8" t="s">
        <v>46</v>
      </c>
      <c r="F1071" s="6">
        <v>7000</v>
      </c>
      <c r="G1071" s="4">
        <v>2021</v>
      </c>
      <c r="H1071" s="4" t="s">
        <v>361</v>
      </c>
    </row>
    <row r="1072" spans="1:8" ht="15.75" customHeight="1" x14ac:dyDescent="0.2">
      <c r="A1072" s="4">
        <v>990</v>
      </c>
      <c r="B1072" s="4" t="str">
        <f t="shared" si="4"/>
        <v>Robertson-Finley Foundation_State Policy Network20207000</v>
      </c>
      <c r="C1072" s="4" t="str">
        <f ca="1">IFERROR(__xludf.DUMMYFUNCTION("ARRAY_CONSTRAIN(ARRAYFORMULA(SINGLE(TEXTJOIN(""_"",TRUE,D1072,G1072))), 1, 1)"),"Robertson-Finley Foundation_2020")</f>
        <v>Robertson-Finley Foundation_2020</v>
      </c>
      <c r="D1072" s="4" t="s">
        <v>76</v>
      </c>
      <c r="E1072" s="8" t="s">
        <v>46</v>
      </c>
      <c r="F1072" s="6">
        <v>7000</v>
      </c>
      <c r="G1072" s="4">
        <v>2020</v>
      </c>
      <c r="H1072" s="4" t="s">
        <v>361</v>
      </c>
    </row>
    <row r="1073" spans="1:8" ht="15.75" customHeight="1" x14ac:dyDescent="0.2">
      <c r="A1073" s="4">
        <v>990</v>
      </c>
      <c r="B1073" s="4" t="str">
        <f t="shared" si="4"/>
        <v>Robertson-Finley Foundation_State Policy Network20195000</v>
      </c>
      <c r="C1073" s="4" t="str">
        <f ca="1">IFERROR(__xludf.DUMMYFUNCTION("ARRAY_CONSTRAIN(ARRAYFORMULA(SINGLE(TEXTJOIN(""_"",TRUE,D1073,G1073))), 1, 1)"),"Robertson-Finley Foundation_2019")</f>
        <v>Robertson-Finley Foundation_2019</v>
      </c>
      <c r="D1073" s="4" t="s">
        <v>76</v>
      </c>
      <c r="E1073" s="8" t="s">
        <v>46</v>
      </c>
      <c r="F1073" s="6">
        <v>5000</v>
      </c>
      <c r="G1073" s="4">
        <v>2019</v>
      </c>
      <c r="H1073" s="4" t="s">
        <v>361</v>
      </c>
    </row>
    <row r="1074" spans="1:8" ht="15.75" customHeight="1" x14ac:dyDescent="0.2">
      <c r="A1074" s="4">
        <v>990</v>
      </c>
      <c r="B1074" s="4" t="str">
        <f t="shared" si="4"/>
        <v>Robertson-Finley Foundation_State Policy Network20185000</v>
      </c>
      <c r="C1074" s="4" t="str">
        <f ca="1">IFERROR(__xludf.DUMMYFUNCTION("ARRAY_CONSTRAIN(ARRAYFORMULA(SINGLE(TEXTJOIN(""_"",TRUE,D1074,G1074))), 1, 1)"),"Robertson-Finley Foundation_2018")</f>
        <v>Robertson-Finley Foundation_2018</v>
      </c>
      <c r="D1074" s="4" t="s">
        <v>76</v>
      </c>
      <c r="E1074" s="8" t="s">
        <v>46</v>
      </c>
      <c r="F1074" s="6">
        <v>5000</v>
      </c>
      <c r="G1074" s="4">
        <v>2018</v>
      </c>
      <c r="H1074" s="4" t="s">
        <v>361</v>
      </c>
    </row>
    <row r="1075" spans="1:8" ht="15.75" customHeight="1" x14ac:dyDescent="0.2">
      <c r="A1075" s="4">
        <v>990</v>
      </c>
      <c r="B1075" s="4" t="str">
        <f t="shared" si="4"/>
        <v>Robertson-Finley Foundation_State Policy Network20175000</v>
      </c>
      <c r="C1075" s="4" t="str">
        <f ca="1">IFERROR(__xludf.DUMMYFUNCTION("ARRAY_CONSTRAIN(ARRAYFORMULA(SINGLE(TEXTJOIN(""_"",TRUE,D1075,G1075))), 1, 1)"),"Robertson-Finley Foundation_2017")</f>
        <v>Robertson-Finley Foundation_2017</v>
      </c>
      <c r="D1075" s="4" t="s">
        <v>76</v>
      </c>
      <c r="E1075" s="8" t="s">
        <v>46</v>
      </c>
      <c r="F1075" s="6">
        <v>5000</v>
      </c>
      <c r="G1075" s="4">
        <v>2017</v>
      </c>
      <c r="H1075" s="4" t="s">
        <v>361</v>
      </c>
    </row>
    <row r="1076" spans="1:8" ht="15.75" customHeight="1" x14ac:dyDescent="0.2">
      <c r="A1076" s="4">
        <v>990</v>
      </c>
      <c r="B1076" s="4" t="str">
        <f t="shared" si="4"/>
        <v>Robertson-Finley Foundation_State Policy Network20164000</v>
      </c>
      <c r="C1076" s="4" t="str">
        <f ca="1">IFERROR(__xludf.DUMMYFUNCTION("ARRAY_CONSTRAIN(ARRAYFORMULA(SINGLE(TEXTJOIN(""_"",TRUE,D1076,G1076))), 1, 1)"),"Robertson-Finley Foundation_2016")</f>
        <v>Robertson-Finley Foundation_2016</v>
      </c>
      <c r="D1076" s="4" t="s">
        <v>76</v>
      </c>
      <c r="E1076" s="8" t="s">
        <v>46</v>
      </c>
      <c r="F1076" s="6">
        <v>4000</v>
      </c>
      <c r="G1076" s="4">
        <v>2016</v>
      </c>
      <c r="H1076" s="4" t="s">
        <v>361</v>
      </c>
    </row>
    <row r="1077" spans="1:8" ht="15.75" customHeight="1" x14ac:dyDescent="0.2">
      <c r="A1077" s="4">
        <v>990</v>
      </c>
      <c r="B1077" s="4" t="str">
        <f t="shared" si="4"/>
        <v>Robertson-Finley Foundation_State Policy Network20153000</v>
      </c>
      <c r="C1077" s="4" t="str">
        <f ca="1">IFERROR(__xludf.DUMMYFUNCTION("ARRAY_CONSTRAIN(ARRAYFORMULA(SINGLE(TEXTJOIN(""_"",TRUE,D1077,G1077))), 1, 1)"),"Robertson-Finley Foundation_2015")</f>
        <v>Robertson-Finley Foundation_2015</v>
      </c>
      <c r="D1077" s="4" t="s">
        <v>76</v>
      </c>
      <c r="E1077" s="8" t="s">
        <v>46</v>
      </c>
      <c r="F1077" s="6">
        <v>3000</v>
      </c>
      <c r="G1077" s="4">
        <v>2015</v>
      </c>
      <c r="H1077" s="4" t="s">
        <v>361</v>
      </c>
    </row>
    <row r="1078" spans="1:8" ht="15.75" customHeight="1" x14ac:dyDescent="0.2">
      <c r="A1078" s="4">
        <v>990</v>
      </c>
      <c r="B1078" s="4" t="str">
        <f t="shared" si="4"/>
        <v>Robertson-Finley Foundation_State Policy Network20142500</v>
      </c>
      <c r="C1078" s="4" t="str">
        <f ca="1">IFERROR(__xludf.DUMMYFUNCTION("ARRAY_CONSTRAIN(ARRAYFORMULA(SINGLE(TEXTJOIN(""_"",TRUE,D1078,G1078))), 1, 1)"),"Robertson-Finley Foundation_2014")</f>
        <v>Robertson-Finley Foundation_2014</v>
      </c>
      <c r="D1078" s="4" t="s">
        <v>76</v>
      </c>
      <c r="E1078" s="8" t="s">
        <v>46</v>
      </c>
      <c r="F1078" s="6">
        <v>2500</v>
      </c>
      <c r="G1078" s="4">
        <v>2014</v>
      </c>
      <c r="H1078" s="4" t="s">
        <v>361</v>
      </c>
    </row>
    <row r="1079" spans="1:8" ht="15.75" customHeight="1" x14ac:dyDescent="0.2">
      <c r="A1079" s="4" t="s">
        <v>368</v>
      </c>
      <c r="B1079" s="4" t="str">
        <f t="shared" si="4"/>
        <v>Robertson-Finley Foundation_State Policy Network20132500</v>
      </c>
      <c r="C1079" s="4" t="str">
        <f ca="1">IFERROR(__xludf.DUMMYFUNCTION("ARRAY_CONSTRAIN(ARRAYFORMULA(SINGLE(TEXTJOIN(""_"",TRUE,D1079,G1079))), 1, 1)"),"Robertson-Finley Foundation_2013")</f>
        <v>Robertson-Finley Foundation_2013</v>
      </c>
      <c r="D1079" s="4" t="s">
        <v>76</v>
      </c>
      <c r="E1079" s="8" t="s">
        <v>46</v>
      </c>
      <c r="F1079" s="6">
        <v>2500</v>
      </c>
      <c r="G1079" s="4">
        <v>2013</v>
      </c>
    </row>
    <row r="1080" spans="1:8" ht="15.75" customHeight="1" x14ac:dyDescent="0.2">
      <c r="A1080" s="4">
        <v>990</v>
      </c>
      <c r="B1080" s="4" t="str">
        <f t="shared" si="4"/>
        <v>Rodney Fund_State Policy Network20183000</v>
      </c>
      <c r="C1080" s="4" t="str">
        <f ca="1">IFERROR(__xludf.DUMMYFUNCTION("ARRAY_CONSTRAIN(ARRAYFORMULA(SINGLE(TEXTJOIN(""_"",TRUE,D1080,G1080))), 1, 1)"),"Rodney Fund_2018")</f>
        <v>Rodney Fund_2018</v>
      </c>
      <c r="D1080" s="4" t="s">
        <v>62</v>
      </c>
      <c r="E1080" s="8" t="s">
        <v>46</v>
      </c>
      <c r="F1080" s="6">
        <v>3000</v>
      </c>
      <c r="G1080" s="4">
        <v>2018</v>
      </c>
      <c r="H1080" s="4" t="s">
        <v>361</v>
      </c>
    </row>
    <row r="1081" spans="1:8" ht="15.75" customHeight="1" x14ac:dyDescent="0.2">
      <c r="A1081" s="4">
        <v>990</v>
      </c>
      <c r="B1081" s="4" t="str">
        <f t="shared" si="4"/>
        <v>Rodney Fund_State Policy Network20176000</v>
      </c>
      <c r="C1081" s="4" t="str">
        <f ca="1">IFERROR(__xludf.DUMMYFUNCTION("ARRAY_CONSTRAIN(ARRAYFORMULA(SINGLE(TEXTJOIN(""_"",TRUE,D1081,G1081))), 1, 1)"),"Rodney Fund_2017")</f>
        <v>Rodney Fund_2017</v>
      </c>
      <c r="D1081" s="4" t="s">
        <v>62</v>
      </c>
      <c r="E1081" s="8" t="s">
        <v>46</v>
      </c>
      <c r="F1081" s="6">
        <v>6000</v>
      </c>
      <c r="G1081" s="4">
        <v>2017</v>
      </c>
      <c r="H1081" s="4" t="s">
        <v>361</v>
      </c>
    </row>
    <row r="1082" spans="1:8" ht="15.75" customHeight="1" x14ac:dyDescent="0.2">
      <c r="A1082" s="4">
        <v>990</v>
      </c>
      <c r="B1082" s="4" t="str">
        <f t="shared" si="4"/>
        <v>Rodney Fund_State Policy Network20144000</v>
      </c>
      <c r="C1082" s="4" t="str">
        <f ca="1">IFERROR(__xludf.DUMMYFUNCTION("ARRAY_CONSTRAIN(ARRAYFORMULA(SINGLE(TEXTJOIN(""_"",TRUE,D1082,G1082))), 1, 1)"),"Rodney Fund_2014")</f>
        <v>Rodney Fund_2014</v>
      </c>
      <c r="D1082" s="4" t="s">
        <v>62</v>
      </c>
      <c r="E1082" s="8" t="s">
        <v>46</v>
      </c>
      <c r="F1082" s="6">
        <v>4000</v>
      </c>
      <c r="G1082" s="4">
        <v>2014</v>
      </c>
      <c r="H1082" s="4" t="s">
        <v>361</v>
      </c>
    </row>
    <row r="1083" spans="1:8" ht="15.75" customHeight="1" x14ac:dyDescent="0.2">
      <c r="A1083" s="4" t="s">
        <v>368</v>
      </c>
      <c r="B1083" s="4" t="str">
        <f t="shared" si="4"/>
        <v>Rodney Fund_State Policy Network201313000</v>
      </c>
      <c r="C1083" s="4" t="str">
        <f ca="1">IFERROR(__xludf.DUMMYFUNCTION("ARRAY_CONSTRAIN(ARRAYFORMULA(SINGLE(TEXTJOIN(""_"",TRUE,D1083,G1083))), 1, 1)"),"Rodney Fund_2013")</f>
        <v>Rodney Fund_2013</v>
      </c>
      <c r="D1083" s="4" t="s">
        <v>62</v>
      </c>
      <c r="E1083" s="8" t="s">
        <v>46</v>
      </c>
      <c r="F1083" s="6">
        <v>13000</v>
      </c>
      <c r="G1083" s="4">
        <v>2013</v>
      </c>
      <c r="H1083" s="4" t="s">
        <v>359</v>
      </c>
    </row>
    <row r="1084" spans="1:8" ht="15.75" customHeight="1" x14ac:dyDescent="0.2">
      <c r="A1084" s="4" t="s">
        <v>368</v>
      </c>
      <c r="B1084" s="4" t="str">
        <f t="shared" si="4"/>
        <v>Rodney Fund_State Policy Network201212000</v>
      </c>
      <c r="C1084" s="4" t="str">
        <f ca="1">IFERROR(__xludf.DUMMYFUNCTION("ARRAY_CONSTRAIN(ARRAYFORMULA(SINGLE(TEXTJOIN(""_"",TRUE,D1084,G1084))), 1, 1)"),"Rodney Fund_2012")</f>
        <v>Rodney Fund_2012</v>
      </c>
      <c r="D1084" s="4" t="s">
        <v>62</v>
      </c>
      <c r="E1084" s="8" t="s">
        <v>46</v>
      </c>
      <c r="F1084" s="6">
        <v>12000</v>
      </c>
      <c r="G1084" s="4">
        <v>2012</v>
      </c>
      <c r="H1084" s="4" t="s">
        <v>359</v>
      </c>
    </row>
    <row r="1085" spans="1:8" ht="15.75" customHeight="1" x14ac:dyDescent="0.2">
      <c r="A1085" s="4" t="s">
        <v>369</v>
      </c>
      <c r="B1085" s="4" t="str">
        <f t="shared" si="4"/>
        <v>Rodney Fund_State Policy Network20118000</v>
      </c>
      <c r="C1085" s="4" t="str">
        <f ca="1">IFERROR(__xludf.DUMMYFUNCTION("ARRAY_CONSTRAIN(ARRAYFORMULA(SINGLE(TEXTJOIN(""_"",TRUE,D1085,G1085))), 1, 1)"),"Rodney Fund_2011")</f>
        <v>Rodney Fund_2011</v>
      </c>
      <c r="D1085" s="4" t="s">
        <v>62</v>
      </c>
      <c r="E1085" s="8" t="s">
        <v>46</v>
      </c>
      <c r="F1085" s="6">
        <v>8000</v>
      </c>
      <c r="G1085" s="4">
        <v>2011</v>
      </c>
      <c r="H1085" s="4" t="s">
        <v>359</v>
      </c>
    </row>
    <row r="1086" spans="1:8" ht="15.75" customHeight="1" x14ac:dyDescent="0.2">
      <c r="A1086" s="4" t="s">
        <v>369</v>
      </c>
      <c r="B1086" s="4" t="str">
        <f t="shared" si="4"/>
        <v>Rodney Fund_State Policy Network20084000</v>
      </c>
      <c r="C1086" s="4" t="str">
        <f ca="1">IFERROR(__xludf.DUMMYFUNCTION("ARRAY_CONSTRAIN(ARRAYFORMULA(SINGLE(TEXTJOIN(""_"",TRUE,D1086,G1086))), 1, 1)"),"Rodney Fund_2008")</f>
        <v>Rodney Fund_2008</v>
      </c>
      <c r="D1086" s="4" t="s">
        <v>62</v>
      </c>
      <c r="E1086" s="8" t="s">
        <v>46</v>
      </c>
      <c r="F1086" s="6">
        <v>4000</v>
      </c>
      <c r="G1086" s="4">
        <v>2008</v>
      </c>
      <c r="H1086" s="4" t="s">
        <v>359</v>
      </c>
    </row>
    <row r="1087" spans="1:8" ht="15.75" customHeight="1" x14ac:dyDescent="0.2">
      <c r="A1087" s="4" t="s">
        <v>369</v>
      </c>
      <c r="B1087" s="4" t="str">
        <f t="shared" si="4"/>
        <v>Rodney Fund_State Policy Network20076000</v>
      </c>
      <c r="C1087" s="4" t="str">
        <f ca="1">IFERROR(__xludf.DUMMYFUNCTION("ARRAY_CONSTRAIN(ARRAYFORMULA(SINGLE(TEXTJOIN(""_"",TRUE,D1087,G1087))), 1, 1)"),"Rodney Fund_2007")</f>
        <v>Rodney Fund_2007</v>
      </c>
      <c r="D1087" s="4" t="s">
        <v>62</v>
      </c>
      <c r="E1087" s="8" t="s">
        <v>46</v>
      </c>
      <c r="F1087" s="6">
        <v>6000</v>
      </c>
      <c r="G1087" s="4">
        <v>2007</v>
      </c>
      <c r="H1087" s="4" t="s">
        <v>359</v>
      </c>
    </row>
    <row r="1088" spans="1:8" ht="15.75" customHeight="1" x14ac:dyDescent="0.2">
      <c r="A1088" s="4" t="s">
        <v>369</v>
      </c>
      <c r="B1088" s="4" t="str">
        <f t="shared" si="4"/>
        <v>Rodney Fund_State Policy Network20068000</v>
      </c>
      <c r="C1088" s="4" t="str">
        <f ca="1">IFERROR(__xludf.DUMMYFUNCTION("ARRAY_CONSTRAIN(ARRAYFORMULA(SINGLE(TEXTJOIN(""_"",TRUE,D1088,G1088))), 1, 1)"),"Rodney Fund_2006")</f>
        <v>Rodney Fund_2006</v>
      </c>
      <c r="D1088" s="4" t="s">
        <v>62</v>
      </c>
      <c r="E1088" s="8" t="s">
        <v>46</v>
      </c>
      <c r="F1088" s="6">
        <v>8000</v>
      </c>
      <c r="G1088" s="4">
        <v>2006</v>
      </c>
      <c r="H1088" s="4" t="s">
        <v>359</v>
      </c>
    </row>
    <row r="1089" spans="1:8" ht="15.75" customHeight="1" x14ac:dyDescent="0.2">
      <c r="A1089" s="4" t="s">
        <v>369</v>
      </c>
      <c r="B1089" s="4" t="str">
        <f t="shared" si="4"/>
        <v>Rodney Fund_State Policy Network20056000</v>
      </c>
      <c r="C1089" s="4" t="str">
        <f ca="1">IFERROR(__xludf.DUMMYFUNCTION("ARRAY_CONSTRAIN(ARRAYFORMULA(SINGLE(TEXTJOIN(""_"",TRUE,D1089,G1089))), 1, 1)"),"Rodney Fund_2005")</f>
        <v>Rodney Fund_2005</v>
      </c>
      <c r="D1089" s="4" t="s">
        <v>62</v>
      </c>
      <c r="E1089" s="8" t="s">
        <v>46</v>
      </c>
      <c r="F1089" s="6">
        <v>6000</v>
      </c>
      <c r="G1089" s="4">
        <v>2005</v>
      </c>
      <c r="H1089" s="4" t="s">
        <v>359</v>
      </c>
    </row>
    <row r="1090" spans="1:8" ht="15.75" customHeight="1" x14ac:dyDescent="0.2">
      <c r="A1090" s="4" t="s">
        <v>369</v>
      </c>
      <c r="B1090" s="4" t="str">
        <f t="shared" si="4"/>
        <v>Rodney Fund_State Policy Network20041000</v>
      </c>
      <c r="C1090" s="4" t="str">
        <f ca="1">IFERROR(__xludf.DUMMYFUNCTION("ARRAY_CONSTRAIN(ARRAYFORMULA(SINGLE(TEXTJOIN(""_"",TRUE,D1090,G1090))), 1, 1)"),"Rodney Fund_2004")</f>
        <v>Rodney Fund_2004</v>
      </c>
      <c r="D1090" s="4" t="s">
        <v>62</v>
      </c>
      <c r="E1090" s="8" t="s">
        <v>46</v>
      </c>
      <c r="F1090" s="6">
        <v>1000</v>
      </c>
      <c r="G1090" s="4">
        <v>2004</v>
      </c>
      <c r="H1090" s="4" t="s">
        <v>359</v>
      </c>
    </row>
    <row r="1091" spans="1:8" ht="15.75" customHeight="1" x14ac:dyDescent="0.2">
      <c r="A1091" s="4" t="s">
        <v>369</v>
      </c>
      <c r="B1091" s="4" t="str">
        <f t="shared" si="4"/>
        <v>Rodney Fund_State Policy Network2001500</v>
      </c>
      <c r="C1091" s="4" t="str">
        <f ca="1">IFERROR(__xludf.DUMMYFUNCTION("ARRAY_CONSTRAIN(ARRAYFORMULA(SINGLE(TEXTJOIN(""_"",TRUE,D1091,G1091))), 1, 1)"),"Rodney Fund_2001")</f>
        <v>Rodney Fund_2001</v>
      </c>
      <c r="D1091" s="4" t="s">
        <v>62</v>
      </c>
      <c r="E1091" s="8" t="s">
        <v>46</v>
      </c>
      <c r="F1091" s="6">
        <v>500</v>
      </c>
      <c r="G1091" s="4">
        <v>2001</v>
      </c>
      <c r="H1091" s="4" t="s">
        <v>359</v>
      </c>
    </row>
    <row r="1092" spans="1:8" ht="15.75" customHeight="1" x14ac:dyDescent="0.2">
      <c r="A1092" s="4">
        <v>990</v>
      </c>
      <c r="B1092" s="4" t="str">
        <f t="shared" si="4"/>
        <v>Roe Foundation_State Policy Network20224000000</v>
      </c>
      <c r="C1092" s="4" t="str">
        <f ca="1">IFERROR(__xludf.DUMMYFUNCTION("ARRAY_CONSTRAIN(ARRAYFORMULA(SINGLE(TEXTJOIN(""_"",TRUE,D1092,G1092))), 1, 1)"),"Roe Foundation_2022")</f>
        <v>Roe Foundation_2022</v>
      </c>
      <c r="D1092" s="4" t="s">
        <v>12</v>
      </c>
      <c r="E1092" s="8" t="s">
        <v>46</v>
      </c>
      <c r="F1092" s="6">
        <v>4000000</v>
      </c>
      <c r="G1092" s="4">
        <v>2022</v>
      </c>
      <c r="H1092" s="4" t="s">
        <v>361</v>
      </c>
    </row>
    <row r="1093" spans="1:8" ht="15.75" customHeight="1" x14ac:dyDescent="0.2">
      <c r="A1093" s="4">
        <v>990</v>
      </c>
      <c r="B1093" s="4" t="str">
        <f t="shared" si="4"/>
        <v>Roe Foundation_State Policy Network20213700000</v>
      </c>
      <c r="C1093" s="4" t="str">
        <f ca="1">IFERROR(__xludf.DUMMYFUNCTION("ARRAY_CONSTRAIN(ARRAYFORMULA(SINGLE(TEXTJOIN(""_"",TRUE,D1093,G1093))), 1, 1)"),"Roe Foundation_2021")</f>
        <v>Roe Foundation_2021</v>
      </c>
      <c r="D1093" s="4" t="s">
        <v>12</v>
      </c>
      <c r="E1093" s="8" t="s">
        <v>46</v>
      </c>
      <c r="F1093" s="6">
        <v>3700000</v>
      </c>
      <c r="G1093" s="4">
        <v>2021</v>
      </c>
      <c r="H1093" s="4" t="s">
        <v>361</v>
      </c>
    </row>
    <row r="1094" spans="1:8" ht="15.75" customHeight="1" x14ac:dyDescent="0.2">
      <c r="A1094" s="4">
        <v>990</v>
      </c>
      <c r="B1094" s="4" t="str">
        <f t="shared" si="4"/>
        <v>Roe Foundation_State Policy Network2020150000</v>
      </c>
      <c r="C1094" s="4" t="str">
        <f ca="1">IFERROR(__xludf.DUMMYFUNCTION("ARRAY_CONSTRAIN(ARRAYFORMULA(SINGLE(TEXTJOIN(""_"",TRUE,D1094,G1094))), 1, 1)"),"Roe Foundation_2020")</f>
        <v>Roe Foundation_2020</v>
      </c>
      <c r="D1094" s="4" t="s">
        <v>12</v>
      </c>
      <c r="E1094" s="8" t="s">
        <v>46</v>
      </c>
      <c r="F1094" s="6">
        <v>150000</v>
      </c>
      <c r="G1094" s="4">
        <v>2020</v>
      </c>
      <c r="H1094" s="4" t="s">
        <v>361</v>
      </c>
    </row>
    <row r="1095" spans="1:8" ht="15.75" customHeight="1" x14ac:dyDescent="0.2">
      <c r="A1095" s="4">
        <v>990</v>
      </c>
      <c r="B1095" s="4" t="str">
        <f t="shared" si="4"/>
        <v>Roe Foundation_State Policy Network2019125000</v>
      </c>
      <c r="C1095" s="4" t="str">
        <f ca="1">IFERROR(__xludf.DUMMYFUNCTION("ARRAY_CONSTRAIN(ARRAYFORMULA(SINGLE(TEXTJOIN(""_"",TRUE,D1095,G1095))), 1, 1)"),"Roe Foundation_2019")</f>
        <v>Roe Foundation_2019</v>
      </c>
      <c r="D1095" s="4" t="s">
        <v>12</v>
      </c>
      <c r="E1095" s="8" t="s">
        <v>46</v>
      </c>
      <c r="F1095" s="6">
        <v>125000</v>
      </c>
      <c r="G1095" s="4">
        <v>2019</v>
      </c>
      <c r="H1095" s="4" t="s">
        <v>361</v>
      </c>
    </row>
    <row r="1096" spans="1:8" ht="15.75" customHeight="1" x14ac:dyDescent="0.2">
      <c r="A1096" s="4">
        <v>990</v>
      </c>
      <c r="B1096" s="4" t="str">
        <f t="shared" si="4"/>
        <v>Roe Foundation_State Policy Network2018125000</v>
      </c>
      <c r="C1096" s="4" t="str">
        <f ca="1">IFERROR(__xludf.DUMMYFUNCTION("ARRAY_CONSTRAIN(ARRAYFORMULA(SINGLE(TEXTJOIN(""_"",TRUE,D1096,G1096))), 1, 1)"),"Roe Foundation_2018")</f>
        <v>Roe Foundation_2018</v>
      </c>
      <c r="D1096" s="4" t="s">
        <v>12</v>
      </c>
      <c r="E1096" s="8" t="s">
        <v>46</v>
      </c>
      <c r="F1096" s="6">
        <v>125000</v>
      </c>
      <c r="G1096" s="4">
        <v>2018</v>
      </c>
      <c r="H1096" s="4" t="s">
        <v>361</v>
      </c>
    </row>
    <row r="1097" spans="1:8" ht="15.75" customHeight="1" x14ac:dyDescent="0.2">
      <c r="A1097" s="4">
        <v>990</v>
      </c>
      <c r="B1097" s="4" t="str">
        <f t="shared" si="4"/>
        <v>Roe Foundation_State Policy Network2015125000</v>
      </c>
      <c r="C1097" s="4" t="str">
        <f ca="1">IFERROR(__xludf.DUMMYFUNCTION("ARRAY_CONSTRAIN(ARRAYFORMULA(SINGLE(TEXTJOIN(""_"",TRUE,D1097,G1097))), 1, 1)"),"Roe Foundation_2015")</f>
        <v>Roe Foundation_2015</v>
      </c>
      <c r="D1097" s="4" t="s">
        <v>12</v>
      </c>
      <c r="E1097" s="8" t="s">
        <v>46</v>
      </c>
      <c r="F1097" s="6">
        <v>125000</v>
      </c>
      <c r="G1097" s="4">
        <v>2015</v>
      </c>
      <c r="H1097" s="4" t="s">
        <v>361</v>
      </c>
    </row>
    <row r="1098" spans="1:8" ht="15.75" customHeight="1" x14ac:dyDescent="0.2">
      <c r="A1098" s="4">
        <v>990</v>
      </c>
      <c r="B1098" s="4" t="str">
        <f t="shared" si="4"/>
        <v>Roe Foundation_State Policy Network2014125000</v>
      </c>
      <c r="C1098" s="4" t="str">
        <f ca="1">IFERROR(__xludf.DUMMYFUNCTION("ARRAY_CONSTRAIN(ARRAYFORMULA(SINGLE(TEXTJOIN(""_"",TRUE,D1098,G1098))), 1, 1)"),"Roe Foundation_2014")</f>
        <v>Roe Foundation_2014</v>
      </c>
      <c r="D1098" s="4" t="s">
        <v>12</v>
      </c>
      <c r="E1098" s="8" t="s">
        <v>46</v>
      </c>
      <c r="F1098" s="6">
        <v>125000</v>
      </c>
      <c r="G1098" s="4">
        <v>2014</v>
      </c>
      <c r="H1098" s="4" t="s">
        <v>361</v>
      </c>
    </row>
    <row r="1099" spans="1:8" ht="15.75" customHeight="1" x14ac:dyDescent="0.2">
      <c r="A1099" s="4">
        <v>990</v>
      </c>
      <c r="B1099" s="4" t="str">
        <f t="shared" si="4"/>
        <v>Roe Foundation_State Policy Network2013125000</v>
      </c>
      <c r="C1099" s="4" t="str">
        <f ca="1">IFERROR(__xludf.DUMMYFUNCTION("ARRAY_CONSTRAIN(ARRAYFORMULA(SINGLE(TEXTJOIN(""_"",TRUE,D1099,G1099))), 1, 1)"),"Roe Foundation_2013")</f>
        <v>Roe Foundation_2013</v>
      </c>
      <c r="D1099" s="4" t="s">
        <v>12</v>
      </c>
      <c r="E1099" s="8" t="s">
        <v>46</v>
      </c>
      <c r="F1099" s="6">
        <v>125000</v>
      </c>
      <c r="G1099" s="4">
        <v>2013</v>
      </c>
      <c r="H1099" s="4" t="s">
        <v>361</v>
      </c>
    </row>
    <row r="1100" spans="1:8" ht="15.75" customHeight="1" x14ac:dyDescent="0.2">
      <c r="A1100" s="4" t="s">
        <v>368</v>
      </c>
      <c r="B1100" s="4" t="str">
        <f t="shared" si="4"/>
        <v>Roe Foundation_State Policy Network2012100000</v>
      </c>
      <c r="C1100" s="4" t="str">
        <f ca="1">IFERROR(__xludf.DUMMYFUNCTION("ARRAY_CONSTRAIN(ARRAYFORMULA(SINGLE(TEXTJOIN(""_"",TRUE,D1100,G1100))), 1, 1)"),"Roe Foundation_2012")</f>
        <v>Roe Foundation_2012</v>
      </c>
      <c r="D1100" s="4" t="s">
        <v>12</v>
      </c>
      <c r="E1100" s="8" t="s">
        <v>46</v>
      </c>
      <c r="F1100" s="6">
        <v>100000</v>
      </c>
      <c r="G1100" s="4">
        <v>2012</v>
      </c>
      <c r="H1100" s="4" t="s">
        <v>359</v>
      </c>
    </row>
    <row r="1101" spans="1:8" ht="15.75" customHeight="1" x14ac:dyDescent="0.2">
      <c r="A1101" s="4" t="s">
        <v>368</v>
      </c>
      <c r="B1101" s="4" t="str">
        <f t="shared" si="4"/>
        <v>Roe Foundation_State Policy Network20122000</v>
      </c>
      <c r="C1101" s="4" t="str">
        <f ca="1">IFERROR(__xludf.DUMMYFUNCTION("ARRAY_CONSTRAIN(ARRAYFORMULA(SINGLE(TEXTJOIN(""_"",TRUE,D1101,G1101))), 1, 1)"),"Roe Foundation_2012")</f>
        <v>Roe Foundation_2012</v>
      </c>
      <c r="D1101" s="4" t="s">
        <v>12</v>
      </c>
      <c r="E1101" s="8" t="s">
        <v>46</v>
      </c>
      <c r="F1101" s="6">
        <v>2000</v>
      </c>
      <c r="G1101" s="4">
        <v>2012</v>
      </c>
      <c r="H1101" s="4" t="s">
        <v>359</v>
      </c>
    </row>
    <row r="1102" spans="1:8" ht="15.75" customHeight="1" x14ac:dyDescent="0.2">
      <c r="A1102" s="4" t="s">
        <v>368</v>
      </c>
      <c r="B1102" s="4" t="str">
        <f t="shared" si="4"/>
        <v>Roe Foundation_State Policy Network2011100000</v>
      </c>
      <c r="C1102" s="4" t="str">
        <f ca="1">IFERROR(__xludf.DUMMYFUNCTION("ARRAY_CONSTRAIN(ARRAYFORMULA(SINGLE(TEXTJOIN(""_"",TRUE,D1102,G1102))), 1, 1)"),"Roe Foundation_2011")</f>
        <v>Roe Foundation_2011</v>
      </c>
      <c r="D1102" s="4" t="s">
        <v>12</v>
      </c>
      <c r="E1102" s="8" t="s">
        <v>46</v>
      </c>
      <c r="F1102" s="6">
        <v>100000</v>
      </c>
      <c r="G1102" s="4">
        <v>2011</v>
      </c>
      <c r="H1102" s="4" t="s">
        <v>359</v>
      </c>
    </row>
    <row r="1103" spans="1:8" ht="15.75" customHeight="1" x14ac:dyDescent="0.2">
      <c r="A1103" s="4" t="s">
        <v>368</v>
      </c>
      <c r="B1103" s="4" t="str">
        <f t="shared" si="4"/>
        <v>Roe Foundation_State Policy Network201070000</v>
      </c>
      <c r="C1103" s="4" t="str">
        <f ca="1">IFERROR(__xludf.DUMMYFUNCTION("ARRAY_CONSTRAIN(ARRAYFORMULA(SINGLE(TEXTJOIN(""_"",TRUE,D1103,G1103))), 1, 1)"),"Roe Foundation_2010")</f>
        <v>Roe Foundation_2010</v>
      </c>
      <c r="D1103" s="4" t="s">
        <v>12</v>
      </c>
      <c r="E1103" s="8" t="s">
        <v>46</v>
      </c>
      <c r="F1103" s="6">
        <v>70000</v>
      </c>
      <c r="G1103" s="4">
        <v>2010</v>
      </c>
      <c r="H1103" s="4" t="s">
        <v>359</v>
      </c>
    </row>
    <row r="1104" spans="1:8" ht="15.75" customHeight="1" x14ac:dyDescent="0.2">
      <c r="A1104" s="4" t="s">
        <v>368</v>
      </c>
      <c r="B1104" s="4" t="str">
        <f t="shared" si="4"/>
        <v>Roe Foundation_State Policy Network200965000</v>
      </c>
      <c r="C1104" s="4" t="str">
        <f ca="1">IFERROR(__xludf.DUMMYFUNCTION("ARRAY_CONSTRAIN(ARRAYFORMULA(SINGLE(TEXTJOIN(""_"",TRUE,D1104,G1104))), 1, 1)"),"Roe Foundation_2009")</f>
        <v>Roe Foundation_2009</v>
      </c>
      <c r="D1104" s="4" t="s">
        <v>12</v>
      </c>
      <c r="E1104" s="8" t="s">
        <v>46</v>
      </c>
      <c r="F1104" s="6">
        <v>65000</v>
      </c>
      <c r="G1104" s="4">
        <v>2009</v>
      </c>
      <c r="H1104" s="4" t="s">
        <v>359</v>
      </c>
    </row>
    <row r="1105" spans="1:8" ht="15.75" customHeight="1" x14ac:dyDescent="0.2">
      <c r="A1105" s="4" t="s">
        <v>368</v>
      </c>
      <c r="B1105" s="4" t="str">
        <f t="shared" si="4"/>
        <v>Roe Foundation_State Policy Network200865000</v>
      </c>
      <c r="C1105" s="4" t="str">
        <f ca="1">IFERROR(__xludf.DUMMYFUNCTION("ARRAY_CONSTRAIN(ARRAYFORMULA(SINGLE(TEXTJOIN(""_"",TRUE,D1105,G1105))), 1, 1)"),"Roe Foundation_2008")</f>
        <v>Roe Foundation_2008</v>
      </c>
      <c r="D1105" s="4" t="s">
        <v>12</v>
      </c>
      <c r="E1105" s="8" t="s">
        <v>46</v>
      </c>
      <c r="F1105" s="6">
        <v>65000</v>
      </c>
      <c r="G1105" s="4">
        <v>2008</v>
      </c>
      <c r="H1105" s="4" t="s">
        <v>359</v>
      </c>
    </row>
    <row r="1106" spans="1:8" ht="15.75" customHeight="1" x14ac:dyDescent="0.2">
      <c r="A1106" s="4" t="s">
        <v>368</v>
      </c>
      <c r="B1106" s="4" t="str">
        <f t="shared" si="4"/>
        <v>Roe Foundation_State Policy Network200765000</v>
      </c>
      <c r="C1106" s="4" t="str">
        <f ca="1">IFERROR(__xludf.DUMMYFUNCTION("ARRAY_CONSTRAIN(ARRAYFORMULA(SINGLE(TEXTJOIN(""_"",TRUE,D1106,G1106))), 1, 1)"),"Roe Foundation_2007")</f>
        <v>Roe Foundation_2007</v>
      </c>
      <c r="D1106" s="4" t="s">
        <v>12</v>
      </c>
      <c r="E1106" s="8" t="s">
        <v>46</v>
      </c>
      <c r="F1106" s="6">
        <v>65000</v>
      </c>
      <c r="G1106" s="4">
        <v>2007</v>
      </c>
      <c r="H1106" s="4" t="s">
        <v>359</v>
      </c>
    </row>
    <row r="1107" spans="1:8" ht="15.75" customHeight="1" x14ac:dyDescent="0.2">
      <c r="A1107" s="4" t="s">
        <v>368</v>
      </c>
      <c r="B1107" s="4" t="str">
        <f t="shared" si="4"/>
        <v>Roe Foundation_State Policy Network200625000</v>
      </c>
      <c r="C1107" s="4" t="str">
        <f ca="1">IFERROR(__xludf.DUMMYFUNCTION("ARRAY_CONSTRAIN(ARRAYFORMULA(SINGLE(TEXTJOIN(""_"",TRUE,D1107,G1107))), 1, 1)"),"Roe Foundation_2006")</f>
        <v>Roe Foundation_2006</v>
      </c>
      <c r="D1107" s="4" t="s">
        <v>12</v>
      </c>
      <c r="E1107" s="8" t="s">
        <v>46</v>
      </c>
      <c r="F1107" s="6">
        <v>25000</v>
      </c>
      <c r="G1107" s="4">
        <v>2006</v>
      </c>
      <c r="H1107" s="4" t="s">
        <v>359</v>
      </c>
    </row>
    <row r="1108" spans="1:8" ht="15.75" customHeight="1" x14ac:dyDescent="0.2">
      <c r="A1108" s="4" t="s">
        <v>368</v>
      </c>
      <c r="B1108" s="4" t="str">
        <f t="shared" si="4"/>
        <v>Roe Foundation_State Policy Network200665000</v>
      </c>
      <c r="C1108" s="4" t="str">
        <f ca="1">IFERROR(__xludf.DUMMYFUNCTION("ARRAY_CONSTRAIN(ARRAYFORMULA(SINGLE(TEXTJOIN(""_"",TRUE,D1108,G1108))), 1, 1)"),"Roe Foundation_2006")</f>
        <v>Roe Foundation_2006</v>
      </c>
      <c r="D1108" s="4" t="s">
        <v>12</v>
      </c>
      <c r="E1108" s="8" t="s">
        <v>46</v>
      </c>
      <c r="F1108" s="6">
        <v>65000</v>
      </c>
      <c r="G1108" s="4">
        <v>2006</v>
      </c>
      <c r="H1108" s="4" t="s">
        <v>359</v>
      </c>
    </row>
    <row r="1109" spans="1:8" ht="15.75" customHeight="1" x14ac:dyDescent="0.2">
      <c r="A1109" s="4" t="s">
        <v>368</v>
      </c>
      <c r="B1109" s="4" t="str">
        <f t="shared" si="4"/>
        <v>Roe Foundation_State Policy Network200565000</v>
      </c>
      <c r="C1109" s="4" t="str">
        <f ca="1">IFERROR(__xludf.DUMMYFUNCTION("ARRAY_CONSTRAIN(ARRAYFORMULA(SINGLE(TEXTJOIN(""_"",TRUE,D1109,G1109))), 1, 1)"),"Roe Foundation_2005")</f>
        <v>Roe Foundation_2005</v>
      </c>
      <c r="D1109" s="4" t="s">
        <v>12</v>
      </c>
      <c r="E1109" s="8" t="s">
        <v>46</v>
      </c>
      <c r="F1109" s="6">
        <v>65000</v>
      </c>
      <c r="G1109" s="4">
        <v>2005</v>
      </c>
      <c r="H1109" s="4" t="s">
        <v>359</v>
      </c>
    </row>
    <row r="1110" spans="1:8" ht="15.75" customHeight="1" x14ac:dyDescent="0.2">
      <c r="A1110" s="4" t="s">
        <v>368</v>
      </c>
      <c r="B1110" s="4" t="str">
        <f t="shared" si="4"/>
        <v>Roe Foundation_State Policy Network200465000</v>
      </c>
      <c r="C1110" s="4" t="str">
        <f ca="1">IFERROR(__xludf.DUMMYFUNCTION("ARRAY_CONSTRAIN(ARRAYFORMULA(SINGLE(TEXTJOIN(""_"",TRUE,D1110,G1110))), 1, 1)"),"Roe Foundation_2004")</f>
        <v>Roe Foundation_2004</v>
      </c>
      <c r="D1110" s="4" t="s">
        <v>12</v>
      </c>
      <c r="E1110" s="8" t="s">
        <v>46</v>
      </c>
      <c r="F1110" s="6">
        <v>65000</v>
      </c>
      <c r="G1110" s="4">
        <v>2004</v>
      </c>
      <c r="H1110" s="4" t="s">
        <v>359</v>
      </c>
    </row>
    <row r="1111" spans="1:8" ht="15.75" customHeight="1" x14ac:dyDescent="0.2">
      <c r="A1111" s="4" t="s">
        <v>368</v>
      </c>
      <c r="B1111" s="4" t="str">
        <f t="shared" si="4"/>
        <v>Roe Foundation_State Policy Network200315000</v>
      </c>
      <c r="C1111" s="4" t="str">
        <f ca="1">IFERROR(__xludf.DUMMYFUNCTION("ARRAY_CONSTRAIN(ARRAYFORMULA(SINGLE(TEXTJOIN(""_"",TRUE,D1111,G1111))), 1, 1)"),"Roe Foundation_2003")</f>
        <v>Roe Foundation_2003</v>
      </c>
      <c r="D1111" s="4" t="s">
        <v>12</v>
      </c>
      <c r="E1111" s="8" t="s">
        <v>46</v>
      </c>
      <c r="F1111" s="6">
        <v>15000</v>
      </c>
      <c r="G1111" s="4">
        <v>2003</v>
      </c>
      <c r="H1111" s="4" t="s">
        <v>359</v>
      </c>
    </row>
    <row r="1112" spans="1:8" ht="15.75" customHeight="1" x14ac:dyDescent="0.2">
      <c r="A1112" s="4" t="s">
        <v>368</v>
      </c>
      <c r="B1112" s="4" t="str">
        <f t="shared" si="4"/>
        <v>Roe Foundation_State Policy Network200365000</v>
      </c>
      <c r="C1112" s="4" t="str">
        <f ca="1">IFERROR(__xludf.DUMMYFUNCTION("ARRAY_CONSTRAIN(ARRAYFORMULA(SINGLE(TEXTJOIN(""_"",TRUE,D1112,G1112))), 1, 1)"),"Roe Foundation_2003")</f>
        <v>Roe Foundation_2003</v>
      </c>
      <c r="D1112" s="4" t="s">
        <v>12</v>
      </c>
      <c r="E1112" s="8" t="s">
        <v>46</v>
      </c>
      <c r="F1112" s="6">
        <v>65000</v>
      </c>
      <c r="G1112" s="4">
        <v>2003</v>
      </c>
      <c r="H1112" s="4" t="s">
        <v>359</v>
      </c>
    </row>
    <row r="1113" spans="1:8" ht="15.75" customHeight="1" x14ac:dyDescent="0.2">
      <c r="A1113" s="4" t="s">
        <v>368</v>
      </c>
      <c r="B1113" s="4" t="str">
        <f t="shared" si="4"/>
        <v>Roe Foundation_State Policy Network200215000</v>
      </c>
      <c r="C1113" s="4" t="str">
        <f ca="1">IFERROR(__xludf.DUMMYFUNCTION("ARRAY_CONSTRAIN(ARRAYFORMULA(SINGLE(TEXTJOIN(""_"",TRUE,D1113,G1113))), 1, 1)"),"Roe Foundation_2002")</f>
        <v>Roe Foundation_2002</v>
      </c>
      <c r="D1113" s="4" t="s">
        <v>12</v>
      </c>
      <c r="E1113" s="8" t="s">
        <v>46</v>
      </c>
      <c r="F1113" s="6">
        <v>15000</v>
      </c>
      <c r="G1113" s="4">
        <v>2002</v>
      </c>
      <c r="H1113" s="4" t="s">
        <v>359</v>
      </c>
    </row>
    <row r="1114" spans="1:8" ht="15.75" customHeight="1" x14ac:dyDescent="0.2">
      <c r="A1114" s="4" t="s">
        <v>368</v>
      </c>
      <c r="B1114" s="4" t="str">
        <f t="shared" si="4"/>
        <v>Roe Foundation_State Policy Network200260000</v>
      </c>
      <c r="C1114" s="4" t="str">
        <f ca="1">IFERROR(__xludf.DUMMYFUNCTION("ARRAY_CONSTRAIN(ARRAYFORMULA(SINGLE(TEXTJOIN(""_"",TRUE,D1114,G1114))), 1, 1)"),"Roe Foundation_2002")</f>
        <v>Roe Foundation_2002</v>
      </c>
      <c r="D1114" s="4" t="s">
        <v>12</v>
      </c>
      <c r="E1114" s="8" t="s">
        <v>46</v>
      </c>
      <c r="F1114" s="6">
        <v>60000</v>
      </c>
      <c r="G1114" s="4">
        <v>2002</v>
      </c>
      <c r="H1114" s="4" t="s">
        <v>359</v>
      </c>
    </row>
    <row r="1115" spans="1:8" ht="15.75" customHeight="1" x14ac:dyDescent="0.2">
      <c r="A1115" s="4" t="s">
        <v>368</v>
      </c>
      <c r="B1115" s="4" t="str">
        <f t="shared" si="4"/>
        <v>Roe Foundation_State Policy Network200162500</v>
      </c>
      <c r="C1115" s="4" t="str">
        <f ca="1">IFERROR(__xludf.DUMMYFUNCTION("ARRAY_CONSTRAIN(ARRAYFORMULA(SINGLE(TEXTJOIN(""_"",TRUE,D1115,G1115))), 1, 1)"),"Roe Foundation_2001")</f>
        <v>Roe Foundation_2001</v>
      </c>
      <c r="D1115" s="4" t="s">
        <v>12</v>
      </c>
      <c r="E1115" s="8" t="s">
        <v>46</v>
      </c>
      <c r="F1115" s="6">
        <v>62500</v>
      </c>
      <c r="G1115" s="4">
        <v>2001</v>
      </c>
    </row>
    <row r="1116" spans="1:8" ht="15.75" customHeight="1" x14ac:dyDescent="0.2">
      <c r="A1116" s="4" t="s">
        <v>368</v>
      </c>
      <c r="B1116" s="4" t="str">
        <f t="shared" si="4"/>
        <v>Roe Foundation_State Policy Network200012500</v>
      </c>
      <c r="C1116" s="4" t="str">
        <f ca="1">IFERROR(__xludf.DUMMYFUNCTION("ARRAY_CONSTRAIN(ARRAYFORMULA(SINGLE(TEXTJOIN(""_"",TRUE,D1116,G1116))), 1, 1)"),"Roe Foundation_2000")</f>
        <v>Roe Foundation_2000</v>
      </c>
      <c r="D1116" s="4" t="s">
        <v>12</v>
      </c>
      <c r="E1116" s="8" t="s">
        <v>46</v>
      </c>
      <c r="F1116" s="6">
        <v>12500</v>
      </c>
      <c r="G1116" s="4">
        <v>2000</v>
      </c>
    </row>
    <row r="1117" spans="1:8" ht="15.75" customHeight="1" x14ac:dyDescent="0.2">
      <c r="A1117" s="4" t="s">
        <v>368</v>
      </c>
      <c r="B1117" s="4" t="str">
        <f t="shared" si="4"/>
        <v>Roe Foundation_State Policy Network1999125000</v>
      </c>
      <c r="C1117" s="4" t="str">
        <f ca="1">IFERROR(__xludf.DUMMYFUNCTION("ARRAY_CONSTRAIN(ARRAYFORMULA(SINGLE(TEXTJOIN(""_"",TRUE,D1117,G1117))), 1, 1)"),"Roe Foundation_1999")</f>
        <v>Roe Foundation_1999</v>
      </c>
      <c r="D1117" s="4" t="s">
        <v>12</v>
      </c>
      <c r="E1117" s="8" t="s">
        <v>46</v>
      </c>
      <c r="F1117" s="6">
        <v>125000</v>
      </c>
      <c r="G1117" s="4">
        <v>1999</v>
      </c>
    </row>
    <row r="1118" spans="1:8" ht="15.75" customHeight="1" x14ac:dyDescent="0.2">
      <c r="A1118" s="4" t="s">
        <v>368</v>
      </c>
      <c r="B1118" s="4" t="str">
        <f t="shared" si="4"/>
        <v>Roe Foundation_State Policy Network19985000</v>
      </c>
      <c r="C1118" s="4" t="str">
        <f ca="1">IFERROR(__xludf.DUMMYFUNCTION("ARRAY_CONSTRAIN(ARRAYFORMULA(SINGLE(TEXTJOIN(""_"",TRUE,D1118,G1118))), 1, 1)"),"Roe Foundation_1998")</f>
        <v>Roe Foundation_1998</v>
      </c>
      <c r="D1118" s="4" t="s">
        <v>12</v>
      </c>
      <c r="E1118" s="8" t="s">
        <v>46</v>
      </c>
      <c r="F1118" s="6">
        <v>5000</v>
      </c>
      <c r="G1118" s="4">
        <v>1998</v>
      </c>
    </row>
    <row r="1119" spans="1:8" ht="15.75" customHeight="1" x14ac:dyDescent="0.2">
      <c r="A1119" s="4" t="s">
        <v>368</v>
      </c>
      <c r="B1119" s="4" t="str">
        <f t="shared" si="4"/>
        <v>Roe Foundation_State Policy Network199860000</v>
      </c>
      <c r="C1119" s="4" t="str">
        <f ca="1">IFERROR(__xludf.DUMMYFUNCTION("ARRAY_CONSTRAIN(ARRAYFORMULA(SINGLE(TEXTJOIN(""_"",TRUE,D1119,G1119))), 1, 1)"),"Roe Foundation_1998")</f>
        <v>Roe Foundation_1998</v>
      </c>
      <c r="D1119" s="4" t="s">
        <v>12</v>
      </c>
      <c r="E1119" s="8" t="s">
        <v>46</v>
      </c>
      <c r="F1119" s="6">
        <v>60000</v>
      </c>
      <c r="G1119" s="4">
        <v>1998</v>
      </c>
    </row>
    <row r="1120" spans="1:8" ht="15.75" customHeight="1" x14ac:dyDescent="0.2">
      <c r="A1120" s="5" t="s">
        <v>704</v>
      </c>
      <c r="B1120" s="4" t="str">
        <f t="shared" si="4"/>
        <v>Roemisch Family Foundation_State Policy Network2021190</v>
      </c>
      <c r="C1120" s="4" t="str">
        <f ca="1">IFERROR(__xludf.DUMMYFUNCTION("ARRAY_CONSTRAIN(ARRAYFORMULA(SINGLE(TEXTJOIN(""_"",TRUE,D1120,G1120))), 1, 1)"),"Roemisch Family Foundation_2021")</f>
        <v>Roemisch Family Foundation_2021</v>
      </c>
      <c r="D1120" s="4" t="s">
        <v>220</v>
      </c>
      <c r="E1120" s="8" t="s">
        <v>46</v>
      </c>
      <c r="F1120" s="6">
        <v>190</v>
      </c>
      <c r="G1120" s="4">
        <v>2021</v>
      </c>
      <c r="H1120" s="4" t="s">
        <v>361</v>
      </c>
    </row>
    <row r="1121" spans="1:8" ht="15.75" customHeight="1" x14ac:dyDescent="0.2">
      <c r="A1121" s="4">
        <v>990</v>
      </c>
      <c r="B1121" s="4" t="str">
        <f t="shared" si="4"/>
        <v>Ron and Susan Krump Foundation_State Policy Network20161000</v>
      </c>
      <c r="C1121" s="4" t="str">
        <f ca="1">IFERROR(__xludf.DUMMYFUNCTION("ARRAY_CONSTRAIN(ARRAYFORMULA(SINGLE(TEXTJOIN(""_"",TRUE,D1121,G1121))), 1, 1)"),"Ron and Susan Krump Foundation_2016")</f>
        <v>Ron and Susan Krump Foundation_2016</v>
      </c>
      <c r="D1121" s="4" t="s">
        <v>178</v>
      </c>
      <c r="E1121" s="8" t="s">
        <v>46</v>
      </c>
      <c r="F1121" s="6">
        <v>1000</v>
      </c>
      <c r="G1121" s="4">
        <v>2016</v>
      </c>
      <c r="H1121" s="4" t="s">
        <v>361</v>
      </c>
    </row>
    <row r="1122" spans="1:8" ht="15.75" customHeight="1" x14ac:dyDescent="0.2">
      <c r="A1122" s="5" t="s">
        <v>705</v>
      </c>
      <c r="B1122" s="4" t="str">
        <f t="shared" si="4"/>
        <v>Sander Foundation_State Policy Network2020100</v>
      </c>
      <c r="C1122" s="4" t="str">
        <f ca="1">IFERROR(__xludf.DUMMYFUNCTION("ARRAY_CONSTRAIN(ARRAYFORMULA(SINGLE(TEXTJOIN(""_"",TRUE,D1122,G1122))), 1, 1)"),"Sander Foundation_2020")</f>
        <v>Sander Foundation_2020</v>
      </c>
      <c r="D1122" s="4" t="s">
        <v>222</v>
      </c>
      <c r="E1122" s="8" t="s">
        <v>46</v>
      </c>
      <c r="F1122" s="6">
        <v>100</v>
      </c>
      <c r="G1122" s="4">
        <v>2020</v>
      </c>
      <c r="H1122" s="4" t="s">
        <v>361</v>
      </c>
    </row>
    <row r="1123" spans="1:8" ht="15.75" customHeight="1" x14ac:dyDescent="0.2">
      <c r="A1123" s="4">
        <v>990</v>
      </c>
      <c r="B1123" s="4" t="str">
        <f t="shared" si="4"/>
        <v>Sarah Scaife Foundation_State Policy Network2021475000</v>
      </c>
      <c r="C1123" s="4" t="str">
        <f ca="1">IFERROR(__xludf.DUMMYFUNCTION("ARRAY_CONSTRAIN(ARRAYFORMULA(SINGLE(TEXTJOIN(""_"",TRUE,D1123,G1123))), 1, 1)"),"Sarah Scaife Foundation_2021")</f>
        <v>Sarah Scaife Foundation_2021</v>
      </c>
      <c r="D1123" s="4" t="s">
        <v>14</v>
      </c>
      <c r="E1123" s="8" t="s">
        <v>46</v>
      </c>
      <c r="F1123" s="6">
        <v>475000</v>
      </c>
      <c r="G1123" s="4">
        <v>2021</v>
      </c>
      <c r="H1123" s="4" t="s">
        <v>361</v>
      </c>
    </row>
    <row r="1124" spans="1:8" ht="15.75" customHeight="1" x14ac:dyDescent="0.2">
      <c r="A1124" s="4">
        <v>990</v>
      </c>
      <c r="B1124" s="4" t="str">
        <f t="shared" si="4"/>
        <v>Sarah Scaife Foundation_State Policy Network2020450000</v>
      </c>
      <c r="C1124" s="4" t="str">
        <f ca="1">IFERROR(__xludf.DUMMYFUNCTION("ARRAY_CONSTRAIN(ARRAYFORMULA(SINGLE(TEXTJOIN(""_"",TRUE,D1124,G1124))), 1, 1)"),"Sarah Scaife Foundation_2020")</f>
        <v>Sarah Scaife Foundation_2020</v>
      </c>
      <c r="D1124" s="4" t="s">
        <v>14</v>
      </c>
      <c r="E1124" s="8" t="s">
        <v>46</v>
      </c>
      <c r="F1124" s="6">
        <v>450000</v>
      </c>
      <c r="G1124" s="4">
        <v>2020</v>
      </c>
      <c r="H1124" s="4" t="s">
        <v>361</v>
      </c>
    </row>
    <row r="1125" spans="1:8" ht="15.75" customHeight="1" x14ac:dyDescent="0.2">
      <c r="A1125" s="4" t="s">
        <v>706</v>
      </c>
      <c r="B1125" s="4" t="str">
        <f t="shared" si="4"/>
        <v>Sarah Scaife Foundation_State Policy Network2019450000</v>
      </c>
      <c r="C1125" s="4" t="str">
        <f ca="1">IFERROR(__xludf.DUMMYFUNCTION("ARRAY_CONSTRAIN(ARRAYFORMULA(SINGLE(TEXTJOIN(""_"",TRUE,D1125,G1125))), 1, 1)"),"Sarah Scaife Foundation_2019")</f>
        <v>Sarah Scaife Foundation_2019</v>
      </c>
      <c r="D1125" s="4" t="s">
        <v>14</v>
      </c>
      <c r="E1125" s="8" t="s">
        <v>46</v>
      </c>
      <c r="F1125" s="6">
        <v>450000</v>
      </c>
      <c r="G1125" s="4">
        <v>2019</v>
      </c>
      <c r="H1125" s="4" t="s">
        <v>361</v>
      </c>
    </row>
    <row r="1126" spans="1:8" ht="15.75" customHeight="1" x14ac:dyDescent="0.2">
      <c r="A1126" s="4" t="s">
        <v>706</v>
      </c>
      <c r="B1126" s="4" t="str">
        <f t="shared" si="4"/>
        <v>Sarah Scaife Foundation_State Policy Network2018420000</v>
      </c>
      <c r="C1126" s="4" t="str">
        <f ca="1">IFERROR(__xludf.DUMMYFUNCTION("ARRAY_CONSTRAIN(ARRAYFORMULA(SINGLE(TEXTJOIN(""_"",TRUE,D1126,G1126))), 1, 1)"),"Sarah Scaife Foundation_2018")</f>
        <v>Sarah Scaife Foundation_2018</v>
      </c>
      <c r="D1126" s="4" t="s">
        <v>14</v>
      </c>
      <c r="E1126" s="8" t="s">
        <v>46</v>
      </c>
      <c r="F1126" s="6">
        <v>420000</v>
      </c>
      <c r="G1126" s="4">
        <v>2018</v>
      </c>
      <c r="H1126" s="4" t="s">
        <v>361</v>
      </c>
    </row>
    <row r="1127" spans="1:8" ht="15.75" customHeight="1" x14ac:dyDescent="0.2">
      <c r="A1127" s="4">
        <v>990</v>
      </c>
      <c r="B1127" s="4" t="str">
        <f t="shared" si="4"/>
        <v>Sarah Scaife Foundation_State Policy Network2017220000</v>
      </c>
      <c r="C1127" s="4" t="str">
        <f ca="1">IFERROR(__xludf.DUMMYFUNCTION("ARRAY_CONSTRAIN(ARRAYFORMULA(SINGLE(TEXTJOIN(""_"",TRUE,D1127,G1127))), 1, 1)"),"Sarah Scaife Foundation_2017")</f>
        <v>Sarah Scaife Foundation_2017</v>
      </c>
      <c r="D1127" s="4" t="s">
        <v>14</v>
      </c>
      <c r="E1127" s="8" t="s">
        <v>46</v>
      </c>
      <c r="F1127" s="6">
        <v>220000</v>
      </c>
      <c r="G1127" s="4">
        <v>2017</v>
      </c>
      <c r="H1127" s="4" t="s">
        <v>361</v>
      </c>
    </row>
    <row r="1128" spans="1:8" ht="15.75" customHeight="1" x14ac:dyDescent="0.2">
      <c r="A1128" s="4" t="s">
        <v>706</v>
      </c>
      <c r="B1128" s="4" t="str">
        <f t="shared" si="4"/>
        <v>Sarah Scaife Foundation_State Policy Network2016200000</v>
      </c>
      <c r="C1128" s="4" t="str">
        <f ca="1">IFERROR(__xludf.DUMMYFUNCTION("ARRAY_CONSTRAIN(ARRAYFORMULA(SINGLE(TEXTJOIN(""_"",TRUE,D1128,G1128))), 1, 1)"),"Sarah Scaife Foundation_2016")</f>
        <v>Sarah Scaife Foundation_2016</v>
      </c>
      <c r="D1128" s="4" t="s">
        <v>14</v>
      </c>
      <c r="E1128" s="8" t="s">
        <v>46</v>
      </c>
      <c r="F1128" s="6">
        <v>200000</v>
      </c>
      <c r="G1128" s="4">
        <v>2016</v>
      </c>
      <c r="H1128" s="4" t="s">
        <v>361</v>
      </c>
    </row>
    <row r="1129" spans="1:8" ht="15.75" customHeight="1" x14ac:dyDescent="0.2">
      <c r="A1129" s="5" t="s">
        <v>707</v>
      </c>
      <c r="B1129" s="4" t="str">
        <f t="shared" si="4"/>
        <v>Schwab Charitable Fund_State Policy Network202279300</v>
      </c>
      <c r="C1129" s="4" t="str">
        <f ca="1">IFERROR(__xludf.DUMMYFUNCTION("ARRAY_CONSTRAIN(ARRAYFORMULA(SINGLE(TEXTJOIN(""_"",TRUE,D1129,G1129))), 1, 1)"),"Schwab Charitable Fund_2022")</f>
        <v>Schwab Charitable Fund_2022</v>
      </c>
      <c r="D1129" s="4" t="s">
        <v>36</v>
      </c>
      <c r="E1129" s="8" t="s">
        <v>46</v>
      </c>
      <c r="F1129" s="6">
        <v>79300</v>
      </c>
      <c r="G1129" s="4">
        <v>2022</v>
      </c>
      <c r="H1129" s="4" t="s">
        <v>361</v>
      </c>
    </row>
    <row r="1130" spans="1:8" ht="15.75" customHeight="1" x14ac:dyDescent="0.2">
      <c r="A1130" s="5" t="s">
        <v>708</v>
      </c>
      <c r="B1130" s="4" t="str">
        <f t="shared" si="4"/>
        <v>Schwab Charitable Fund_State Policy Network202173250</v>
      </c>
      <c r="C1130" s="4" t="str">
        <f ca="1">IFERROR(__xludf.DUMMYFUNCTION("ARRAY_CONSTRAIN(ARRAYFORMULA(SINGLE(TEXTJOIN(""_"",TRUE,D1130,G1130))), 1, 1)"),"Schwab Charitable Fund_2021")</f>
        <v>Schwab Charitable Fund_2021</v>
      </c>
      <c r="D1130" s="4" t="s">
        <v>36</v>
      </c>
      <c r="E1130" s="8" t="s">
        <v>46</v>
      </c>
      <c r="F1130" s="6">
        <v>73250</v>
      </c>
      <c r="G1130" s="4">
        <v>2021</v>
      </c>
      <c r="H1130" s="4" t="s">
        <v>361</v>
      </c>
    </row>
    <row r="1131" spans="1:8" ht="15.75" customHeight="1" x14ac:dyDescent="0.2">
      <c r="A1131" s="5" t="s">
        <v>709</v>
      </c>
      <c r="B1131" s="4" t="str">
        <f t="shared" si="4"/>
        <v>Schwab Charitable Fund_State Policy Network202037875</v>
      </c>
      <c r="C1131" s="4" t="str">
        <f ca="1">IFERROR(__xludf.DUMMYFUNCTION("ARRAY_CONSTRAIN(ARRAYFORMULA(SINGLE(TEXTJOIN(""_"",TRUE,D1131,G1131))), 1, 1)"),"Schwab Charitable Fund_2020")</f>
        <v>Schwab Charitable Fund_2020</v>
      </c>
      <c r="D1131" s="4" t="s">
        <v>36</v>
      </c>
      <c r="E1131" s="8" t="s">
        <v>46</v>
      </c>
      <c r="F1131" s="6">
        <v>37875</v>
      </c>
      <c r="G1131" s="4">
        <v>2020</v>
      </c>
      <c r="H1131" s="4" t="s">
        <v>361</v>
      </c>
    </row>
    <row r="1132" spans="1:8" ht="15.75" customHeight="1" x14ac:dyDescent="0.2">
      <c r="A1132" s="5" t="s">
        <v>710</v>
      </c>
      <c r="B1132" s="4" t="str">
        <f t="shared" si="4"/>
        <v>Schwab Charitable Fund_State Policy Network201925525</v>
      </c>
      <c r="C1132" s="4" t="str">
        <f ca="1">IFERROR(__xludf.DUMMYFUNCTION("ARRAY_CONSTRAIN(ARRAYFORMULA(SINGLE(TEXTJOIN(""_"",TRUE,D1132,G1132))), 1, 1)"),"Schwab Charitable Fund_2019")</f>
        <v>Schwab Charitable Fund_2019</v>
      </c>
      <c r="D1132" s="4" t="s">
        <v>36</v>
      </c>
      <c r="E1132" s="8" t="s">
        <v>46</v>
      </c>
      <c r="F1132" s="6">
        <v>25525</v>
      </c>
      <c r="G1132" s="4">
        <v>2019</v>
      </c>
      <c r="H1132" s="4" t="s">
        <v>361</v>
      </c>
    </row>
    <row r="1133" spans="1:8" ht="15.75" customHeight="1" x14ac:dyDescent="0.2">
      <c r="A1133" s="5" t="s">
        <v>711</v>
      </c>
      <c r="B1133" s="4" t="str">
        <f t="shared" si="4"/>
        <v>Schwab Charitable Fund_State Policy Network201820075</v>
      </c>
      <c r="C1133" s="4" t="str">
        <f ca="1">IFERROR(__xludf.DUMMYFUNCTION("ARRAY_CONSTRAIN(ARRAYFORMULA(SINGLE(TEXTJOIN(""_"",TRUE,D1133,G1133))), 1, 1)"),"Schwab Charitable Fund_2018")</f>
        <v>Schwab Charitable Fund_2018</v>
      </c>
      <c r="D1133" s="4" t="s">
        <v>36</v>
      </c>
      <c r="E1133" s="8" t="s">
        <v>46</v>
      </c>
      <c r="F1133" s="6">
        <v>20075</v>
      </c>
      <c r="G1133" s="4">
        <v>2018</v>
      </c>
      <c r="H1133" s="4" t="s">
        <v>361</v>
      </c>
    </row>
    <row r="1134" spans="1:8" ht="15.75" customHeight="1" x14ac:dyDescent="0.2">
      <c r="A1134" s="5" t="s">
        <v>712</v>
      </c>
      <c r="B1134" s="4" t="str">
        <f t="shared" si="4"/>
        <v>Schwab Charitable Fund_State Policy Network201718175</v>
      </c>
      <c r="C1134" s="4" t="str">
        <f ca="1">IFERROR(__xludf.DUMMYFUNCTION("ARRAY_CONSTRAIN(ARRAYFORMULA(SINGLE(TEXTJOIN(""_"",TRUE,D1134,G1134))), 1, 1)"),"Schwab Charitable Fund_2017")</f>
        <v>Schwab Charitable Fund_2017</v>
      </c>
      <c r="D1134" s="4" t="s">
        <v>36</v>
      </c>
      <c r="E1134" s="8" t="s">
        <v>46</v>
      </c>
      <c r="F1134" s="6">
        <v>18175</v>
      </c>
      <c r="G1134" s="4">
        <v>2017</v>
      </c>
      <c r="H1134" s="4" t="s">
        <v>361</v>
      </c>
    </row>
    <row r="1135" spans="1:8" ht="15.75" customHeight="1" x14ac:dyDescent="0.2">
      <c r="A1135" s="5" t="s">
        <v>713</v>
      </c>
      <c r="B1135" s="4" t="str">
        <f t="shared" si="4"/>
        <v>Schwab Charitable Fund_State Policy Network201635025</v>
      </c>
      <c r="C1135" s="4" t="str">
        <f ca="1">IFERROR(__xludf.DUMMYFUNCTION("ARRAY_CONSTRAIN(ARRAYFORMULA(SINGLE(TEXTJOIN(""_"",TRUE,D1135,G1135))), 1, 1)"),"Schwab Charitable Fund_2016")</f>
        <v>Schwab Charitable Fund_2016</v>
      </c>
      <c r="D1135" s="4" t="s">
        <v>36</v>
      </c>
      <c r="E1135" s="8" t="s">
        <v>46</v>
      </c>
      <c r="F1135" s="6">
        <v>35025</v>
      </c>
      <c r="G1135" s="4">
        <v>2016</v>
      </c>
      <c r="H1135" s="4" t="s">
        <v>361</v>
      </c>
    </row>
    <row r="1136" spans="1:8" ht="15.75" customHeight="1" x14ac:dyDescent="0.2">
      <c r="A1136" s="5" t="s">
        <v>714</v>
      </c>
      <c r="B1136" s="4" t="str">
        <f t="shared" si="4"/>
        <v>Schwab Charitable Fund_State Policy Network20156950</v>
      </c>
      <c r="C1136" s="4" t="str">
        <f ca="1">IFERROR(__xludf.DUMMYFUNCTION("ARRAY_CONSTRAIN(ARRAYFORMULA(SINGLE(TEXTJOIN(""_"",TRUE,D1136,G1136))), 1, 1)"),"Schwab Charitable Fund_2015")</f>
        <v>Schwab Charitable Fund_2015</v>
      </c>
      <c r="D1136" s="4" t="s">
        <v>36</v>
      </c>
      <c r="E1136" s="8" t="s">
        <v>46</v>
      </c>
      <c r="F1136" s="6">
        <v>6950</v>
      </c>
      <c r="G1136" s="4">
        <v>2015</v>
      </c>
      <c r="H1136" s="4" t="s">
        <v>361</v>
      </c>
    </row>
    <row r="1137" spans="1:8" ht="15.75" customHeight="1" x14ac:dyDescent="0.2">
      <c r="A1137" s="5" t="s">
        <v>715</v>
      </c>
      <c r="B1137" s="4" t="str">
        <f t="shared" si="4"/>
        <v>Scott Family Foundation_State Policy Network20151000</v>
      </c>
      <c r="C1137" s="4" t="str">
        <f ca="1">IFERROR(__xludf.DUMMYFUNCTION("ARRAY_CONSTRAIN(ARRAYFORMULA(SINGLE(TEXTJOIN(""_"",TRUE,D1137,G1137))), 1, 1)"),"Scott Family Foundation_2015")</f>
        <v>Scott Family Foundation_2015</v>
      </c>
      <c r="D1137" s="4" t="s">
        <v>177</v>
      </c>
      <c r="E1137" s="8" t="s">
        <v>46</v>
      </c>
      <c r="F1137" s="6">
        <v>1000</v>
      </c>
      <c r="G1137" s="4">
        <v>2015</v>
      </c>
      <c r="H1137" s="4" t="s">
        <v>361</v>
      </c>
    </row>
    <row r="1138" spans="1:8" ht="15.75" customHeight="1" x14ac:dyDescent="0.2">
      <c r="A1138" s="4">
        <v>990</v>
      </c>
      <c r="B1138" s="4" t="str">
        <f t="shared" si="4"/>
        <v>Searle Freedom Trust_State Policy Network2021296150</v>
      </c>
      <c r="C1138" s="4" t="str">
        <f ca="1">IFERROR(__xludf.DUMMYFUNCTION("ARRAY_CONSTRAIN(ARRAYFORMULA(SINGLE(TEXTJOIN(""_"",TRUE,D1138,G1138))), 1, 1)"),"Searle Freedom Trust_2021")</f>
        <v>Searle Freedom Trust_2021</v>
      </c>
      <c r="D1138" s="4" t="s">
        <v>11</v>
      </c>
      <c r="E1138" s="8" t="s">
        <v>46</v>
      </c>
      <c r="F1138" s="6">
        <v>296150</v>
      </c>
      <c r="G1138" s="4">
        <v>2021</v>
      </c>
      <c r="H1138" s="4" t="s">
        <v>361</v>
      </c>
    </row>
    <row r="1139" spans="1:8" ht="15.75" customHeight="1" x14ac:dyDescent="0.2">
      <c r="A1139" s="4">
        <v>990</v>
      </c>
      <c r="B1139" s="4" t="str">
        <f t="shared" si="4"/>
        <v>Searle Freedom Trust_State Policy Network2021303500</v>
      </c>
      <c r="C1139" s="4" t="str">
        <f ca="1">IFERROR(__xludf.DUMMYFUNCTION("ARRAY_CONSTRAIN(ARRAYFORMULA(SINGLE(TEXTJOIN(""_"",TRUE,D1139,G1139))), 1, 1)"),"Searle Freedom Trust_2021")</f>
        <v>Searle Freedom Trust_2021</v>
      </c>
      <c r="D1139" s="4" t="s">
        <v>11</v>
      </c>
      <c r="E1139" s="8" t="s">
        <v>46</v>
      </c>
      <c r="F1139" s="6">
        <v>303500</v>
      </c>
      <c r="G1139" s="4">
        <v>2021</v>
      </c>
      <c r="H1139" s="4" t="s">
        <v>361</v>
      </c>
    </row>
    <row r="1140" spans="1:8" ht="15.75" customHeight="1" x14ac:dyDescent="0.2">
      <c r="A1140" s="4">
        <v>990</v>
      </c>
      <c r="B1140" s="4" t="str">
        <f t="shared" si="4"/>
        <v>Searle Freedom Trust_State Policy Network202160000</v>
      </c>
      <c r="C1140" s="4" t="str">
        <f ca="1">IFERROR(__xludf.DUMMYFUNCTION("ARRAY_CONSTRAIN(ARRAYFORMULA(SINGLE(TEXTJOIN(""_"",TRUE,D1140,G1140))), 1, 1)"),"Searle Freedom Trust_2021")</f>
        <v>Searle Freedom Trust_2021</v>
      </c>
      <c r="D1140" s="4" t="s">
        <v>11</v>
      </c>
      <c r="E1140" s="8" t="s">
        <v>46</v>
      </c>
      <c r="F1140" s="6">
        <v>60000</v>
      </c>
      <c r="G1140" s="4">
        <v>2021</v>
      </c>
      <c r="H1140" s="4" t="s">
        <v>361</v>
      </c>
    </row>
    <row r="1141" spans="1:8" ht="15.75" customHeight="1" x14ac:dyDescent="0.2">
      <c r="A1141" s="4">
        <v>990</v>
      </c>
      <c r="B1141" s="4" t="str">
        <f t="shared" si="4"/>
        <v>Searle Freedom Trust_State Policy Network2021330000</v>
      </c>
      <c r="C1141" s="4" t="str">
        <f ca="1">IFERROR(__xludf.DUMMYFUNCTION("ARRAY_CONSTRAIN(ARRAYFORMULA(SINGLE(TEXTJOIN(""_"",TRUE,D1141,G1141))), 1, 1)"),"Searle Freedom Trust_2021")</f>
        <v>Searle Freedom Trust_2021</v>
      </c>
      <c r="D1141" s="4" t="s">
        <v>11</v>
      </c>
      <c r="E1141" s="8" t="s">
        <v>46</v>
      </c>
      <c r="F1141" s="6">
        <v>330000</v>
      </c>
      <c r="G1141" s="4">
        <v>2021</v>
      </c>
      <c r="H1141" s="4" t="s">
        <v>361</v>
      </c>
    </row>
    <row r="1142" spans="1:8" ht="15.75" customHeight="1" x14ac:dyDescent="0.2">
      <c r="A1142" s="4">
        <v>990</v>
      </c>
      <c r="B1142" s="4" t="str">
        <f t="shared" si="4"/>
        <v>Searle Freedom Trust_State Policy Network2020298000</v>
      </c>
      <c r="C1142" s="4" t="str">
        <f ca="1">IFERROR(__xludf.DUMMYFUNCTION("ARRAY_CONSTRAIN(ARRAYFORMULA(SINGLE(TEXTJOIN(""_"",TRUE,D1142,G1142))), 1, 1)"),"Searle Freedom Trust_2020")</f>
        <v>Searle Freedom Trust_2020</v>
      </c>
      <c r="D1142" s="4" t="s">
        <v>11</v>
      </c>
      <c r="E1142" s="8" t="s">
        <v>46</v>
      </c>
      <c r="F1142" s="6">
        <v>298000</v>
      </c>
      <c r="G1142" s="4">
        <v>2020</v>
      </c>
      <c r="H1142" s="4" t="s">
        <v>361</v>
      </c>
    </row>
    <row r="1143" spans="1:8" ht="15.75" customHeight="1" x14ac:dyDescent="0.2">
      <c r="A1143" s="4">
        <v>990</v>
      </c>
      <c r="B1143" s="4" t="str">
        <f t="shared" si="4"/>
        <v>Searle Freedom Trust_State Policy Network2020300000</v>
      </c>
      <c r="C1143" s="4" t="str">
        <f ca="1">IFERROR(__xludf.DUMMYFUNCTION("ARRAY_CONSTRAIN(ARRAYFORMULA(SINGLE(TEXTJOIN(""_"",TRUE,D1143,G1143))), 1, 1)"),"Searle Freedom Trust_2020")</f>
        <v>Searle Freedom Trust_2020</v>
      </c>
      <c r="D1143" s="4" t="s">
        <v>11</v>
      </c>
      <c r="E1143" s="8" t="s">
        <v>46</v>
      </c>
      <c r="F1143" s="6">
        <v>300000</v>
      </c>
      <c r="G1143" s="4">
        <v>2020</v>
      </c>
      <c r="H1143" s="4" t="s">
        <v>361</v>
      </c>
    </row>
    <row r="1144" spans="1:8" ht="15.75" customHeight="1" x14ac:dyDescent="0.2">
      <c r="A1144" s="4">
        <v>990</v>
      </c>
      <c r="B1144" s="4" t="str">
        <f t="shared" si="4"/>
        <v>Searle Freedom Trust_State Policy Network202060000</v>
      </c>
      <c r="C1144" s="4" t="str">
        <f ca="1">IFERROR(__xludf.DUMMYFUNCTION("ARRAY_CONSTRAIN(ARRAYFORMULA(SINGLE(TEXTJOIN(""_"",TRUE,D1144,G1144))), 1, 1)"),"Searle Freedom Trust_2020")</f>
        <v>Searle Freedom Trust_2020</v>
      </c>
      <c r="D1144" s="4" t="s">
        <v>11</v>
      </c>
      <c r="E1144" s="8" t="s">
        <v>46</v>
      </c>
      <c r="F1144" s="6">
        <v>60000</v>
      </c>
      <c r="G1144" s="4">
        <v>2020</v>
      </c>
      <c r="H1144" s="4" t="s">
        <v>361</v>
      </c>
    </row>
    <row r="1145" spans="1:8" ht="15.75" customHeight="1" x14ac:dyDescent="0.2">
      <c r="A1145" s="4">
        <v>990</v>
      </c>
      <c r="B1145" s="4" t="str">
        <f t="shared" si="4"/>
        <v>Searle Freedom Trust_State Policy Network2020125000</v>
      </c>
      <c r="C1145" s="4" t="str">
        <f ca="1">IFERROR(__xludf.DUMMYFUNCTION("ARRAY_CONSTRAIN(ARRAYFORMULA(SINGLE(TEXTJOIN(""_"",TRUE,D1145,G1145))), 1, 1)"),"Searle Freedom Trust_2020")</f>
        <v>Searle Freedom Trust_2020</v>
      </c>
      <c r="D1145" s="4" t="s">
        <v>11</v>
      </c>
      <c r="E1145" s="8" t="s">
        <v>46</v>
      </c>
      <c r="F1145" s="6">
        <v>125000</v>
      </c>
      <c r="G1145" s="4">
        <v>2020</v>
      </c>
      <c r="H1145" s="4" t="s">
        <v>361</v>
      </c>
    </row>
    <row r="1146" spans="1:8" ht="15.75" customHeight="1" x14ac:dyDescent="0.2">
      <c r="A1146" s="4">
        <v>990</v>
      </c>
      <c r="B1146" s="4" t="str">
        <f t="shared" si="4"/>
        <v>Searle Freedom Trust_State Policy Network2019350000</v>
      </c>
      <c r="C1146" s="4" t="str">
        <f ca="1">IFERROR(__xludf.DUMMYFUNCTION("ARRAY_CONSTRAIN(ARRAYFORMULA(SINGLE(TEXTJOIN(""_"",TRUE,D1146,G1146))), 1, 1)"),"Searle Freedom Trust_2019")</f>
        <v>Searle Freedom Trust_2019</v>
      </c>
      <c r="D1146" s="4" t="s">
        <v>11</v>
      </c>
      <c r="E1146" s="8" t="s">
        <v>46</v>
      </c>
      <c r="F1146" s="6">
        <v>350000</v>
      </c>
      <c r="G1146" s="4">
        <v>2019</v>
      </c>
      <c r="H1146" s="4" t="s">
        <v>361</v>
      </c>
    </row>
    <row r="1147" spans="1:8" ht="15.75" customHeight="1" x14ac:dyDescent="0.2">
      <c r="A1147" s="4">
        <v>990</v>
      </c>
      <c r="B1147" s="4" t="str">
        <f t="shared" si="4"/>
        <v>Searle Freedom Trust_State Policy Network2019298768</v>
      </c>
      <c r="C1147" s="4" t="str">
        <f ca="1">IFERROR(__xludf.DUMMYFUNCTION("ARRAY_CONSTRAIN(ARRAYFORMULA(SINGLE(TEXTJOIN(""_"",TRUE,D1147,G1147))), 1, 1)"),"Searle Freedom Trust_2019")</f>
        <v>Searle Freedom Trust_2019</v>
      </c>
      <c r="D1147" s="4" t="s">
        <v>11</v>
      </c>
      <c r="E1147" s="8" t="s">
        <v>46</v>
      </c>
      <c r="F1147" s="6">
        <v>298768</v>
      </c>
      <c r="G1147" s="4">
        <v>2019</v>
      </c>
      <c r="H1147" s="4" t="s">
        <v>361</v>
      </c>
    </row>
    <row r="1148" spans="1:8" ht="15.75" customHeight="1" x14ac:dyDescent="0.2">
      <c r="A1148" s="4">
        <v>990</v>
      </c>
      <c r="B1148" s="4" t="str">
        <f t="shared" si="4"/>
        <v>Searle Freedom Trust_State Policy Network2019300000</v>
      </c>
      <c r="C1148" s="4" t="str">
        <f ca="1">IFERROR(__xludf.DUMMYFUNCTION("ARRAY_CONSTRAIN(ARRAYFORMULA(SINGLE(TEXTJOIN(""_"",TRUE,D1148,G1148))), 1, 1)"),"Searle Freedom Trust_2019")</f>
        <v>Searle Freedom Trust_2019</v>
      </c>
      <c r="D1148" s="4" t="s">
        <v>11</v>
      </c>
      <c r="E1148" s="8" t="s">
        <v>46</v>
      </c>
      <c r="F1148" s="6">
        <v>300000</v>
      </c>
      <c r="G1148" s="4">
        <v>2019</v>
      </c>
      <c r="H1148" s="4" t="s">
        <v>361</v>
      </c>
    </row>
    <row r="1149" spans="1:8" ht="15.75" customHeight="1" x14ac:dyDescent="0.2">
      <c r="A1149" s="4">
        <v>990</v>
      </c>
      <c r="B1149" s="4" t="str">
        <f t="shared" si="4"/>
        <v>Searle Freedom Trust_State Policy Network201960000</v>
      </c>
      <c r="C1149" s="4" t="str">
        <f ca="1">IFERROR(__xludf.DUMMYFUNCTION("ARRAY_CONSTRAIN(ARRAYFORMULA(SINGLE(TEXTJOIN(""_"",TRUE,D1149,G1149))), 1, 1)"),"Searle Freedom Trust_2019")</f>
        <v>Searle Freedom Trust_2019</v>
      </c>
      <c r="D1149" s="4" t="s">
        <v>11</v>
      </c>
      <c r="E1149" s="8" t="s">
        <v>46</v>
      </c>
      <c r="F1149" s="6">
        <v>60000</v>
      </c>
      <c r="G1149" s="4">
        <v>2019</v>
      </c>
      <c r="H1149" s="4" t="s">
        <v>361</v>
      </c>
    </row>
    <row r="1150" spans="1:8" ht="15.75" customHeight="1" x14ac:dyDescent="0.2">
      <c r="A1150" s="4">
        <v>990</v>
      </c>
      <c r="B1150" s="4" t="str">
        <f t="shared" si="4"/>
        <v>Searle Freedom Trust_State Policy Network2018296100</v>
      </c>
      <c r="C1150" s="4" t="str">
        <f ca="1">IFERROR(__xludf.DUMMYFUNCTION("ARRAY_CONSTRAIN(ARRAYFORMULA(SINGLE(TEXTJOIN(""_"",TRUE,D1150,G1150))), 1, 1)"),"Searle Freedom Trust_2018")</f>
        <v>Searle Freedom Trust_2018</v>
      </c>
      <c r="D1150" s="4" t="s">
        <v>11</v>
      </c>
      <c r="E1150" s="8" t="s">
        <v>46</v>
      </c>
      <c r="F1150" s="6">
        <v>296100</v>
      </c>
      <c r="G1150" s="4">
        <v>2018</v>
      </c>
      <c r="H1150" s="4" t="s">
        <v>361</v>
      </c>
    </row>
    <row r="1151" spans="1:8" ht="15.75" customHeight="1" x14ac:dyDescent="0.2">
      <c r="A1151" s="4">
        <v>990</v>
      </c>
      <c r="B1151" s="4" t="str">
        <f t="shared" si="4"/>
        <v>Searle Freedom Trust_State Policy Network201856000</v>
      </c>
      <c r="C1151" s="4" t="str">
        <f ca="1">IFERROR(__xludf.DUMMYFUNCTION("ARRAY_CONSTRAIN(ARRAYFORMULA(SINGLE(TEXTJOIN(""_"",TRUE,D1151,G1151))), 1, 1)"),"Searle Freedom Trust_2018")</f>
        <v>Searle Freedom Trust_2018</v>
      </c>
      <c r="D1151" s="4" t="s">
        <v>11</v>
      </c>
      <c r="E1151" s="8" t="s">
        <v>46</v>
      </c>
      <c r="F1151" s="6">
        <v>56000</v>
      </c>
      <c r="G1151" s="4">
        <v>2018</v>
      </c>
      <c r="H1151" s="4" t="s">
        <v>361</v>
      </c>
    </row>
    <row r="1152" spans="1:8" ht="15.75" customHeight="1" x14ac:dyDescent="0.2">
      <c r="A1152" s="4">
        <v>990</v>
      </c>
      <c r="B1152" s="4" t="str">
        <f t="shared" si="4"/>
        <v>Searle Freedom Trust_State Policy Network2018350000</v>
      </c>
      <c r="C1152" s="4" t="str">
        <f ca="1">IFERROR(__xludf.DUMMYFUNCTION("ARRAY_CONSTRAIN(ARRAYFORMULA(SINGLE(TEXTJOIN(""_"",TRUE,D1152,G1152))), 1, 1)"),"Searle Freedom Trust_2018")</f>
        <v>Searle Freedom Trust_2018</v>
      </c>
      <c r="D1152" s="4" t="s">
        <v>11</v>
      </c>
      <c r="E1152" s="8" t="s">
        <v>46</v>
      </c>
      <c r="F1152" s="6">
        <v>350000</v>
      </c>
      <c r="G1152" s="4">
        <v>2018</v>
      </c>
      <c r="H1152" s="4" t="s">
        <v>361</v>
      </c>
    </row>
    <row r="1153" spans="1:8" ht="15.75" customHeight="1" x14ac:dyDescent="0.2">
      <c r="A1153" s="4">
        <v>990</v>
      </c>
      <c r="B1153" s="4" t="str">
        <f t="shared" si="4"/>
        <v>Searle Freedom Trust_State Policy Network201875000</v>
      </c>
      <c r="C1153" s="4" t="str">
        <f ca="1">IFERROR(__xludf.DUMMYFUNCTION("ARRAY_CONSTRAIN(ARRAYFORMULA(SINGLE(TEXTJOIN(""_"",TRUE,D1153,G1153))), 1, 1)"),"Searle Freedom Trust_2018")</f>
        <v>Searle Freedom Trust_2018</v>
      </c>
      <c r="D1153" s="4" t="s">
        <v>11</v>
      </c>
      <c r="E1153" s="8" t="s">
        <v>46</v>
      </c>
      <c r="F1153" s="6">
        <v>75000</v>
      </c>
      <c r="G1153" s="4">
        <v>2018</v>
      </c>
      <c r="H1153" s="4" t="s">
        <v>361</v>
      </c>
    </row>
    <row r="1154" spans="1:8" ht="15.75" customHeight="1" x14ac:dyDescent="0.2">
      <c r="A1154" s="4">
        <v>990</v>
      </c>
      <c r="B1154" s="4" t="str">
        <f t="shared" si="4"/>
        <v>Searle Freedom Trust_State Policy Network2017150000</v>
      </c>
      <c r="C1154" s="4" t="str">
        <f ca="1">IFERROR(__xludf.DUMMYFUNCTION("ARRAY_CONSTRAIN(ARRAYFORMULA(SINGLE(TEXTJOIN(""_"",TRUE,D1154,G1154))), 1, 1)"),"Searle Freedom Trust_2017")</f>
        <v>Searle Freedom Trust_2017</v>
      </c>
      <c r="D1154" s="4" t="s">
        <v>11</v>
      </c>
      <c r="E1154" s="8" t="s">
        <v>46</v>
      </c>
      <c r="F1154" s="6">
        <v>150000</v>
      </c>
      <c r="G1154" s="4">
        <v>2017</v>
      </c>
      <c r="H1154" s="4" t="s">
        <v>361</v>
      </c>
    </row>
    <row r="1155" spans="1:8" ht="15.75" customHeight="1" x14ac:dyDescent="0.2">
      <c r="A1155" s="4">
        <v>990</v>
      </c>
      <c r="B1155" s="4" t="str">
        <f t="shared" si="4"/>
        <v>Searle Freedom Trust_State Policy Network201775000</v>
      </c>
      <c r="C1155" s="4" t="str">
        <f ca="1">IFERROR(__xludf.DUMMYFUNCTION("ARRAY_CONSTRAIN(ARRAYFORMULA(SINGLE(TEXTJOIN(""_"",TRUE,D1155,G1155))), 1, 1)"),"Searle Freedom Trust_2017")</f>
        <v>Searle Freedom Trust_2017</v>
      </c>
      <c r="D1155" s="4" t="s">
        <v>11</v>
      </c>
      <c r="E1155" s="8" t="s">
        <v>46</v>
      </c>
      <c r="F1155" s="6">
        <v>75000</v>
      </c>
      <c r="G1155" s="4">
        <v>2017</v>
      </c>
      <c r="H1155" s="4" t="s">
        <v>361</v>
      </c>
    </row>
    <row r="1156" spans="1:8" ht="15.75" customHeight="1" x14ac:dyDescent="0.2">
      <c r="A1156" s="4">
        <v>990</v>
      </c>
      <c r="B1156" s="4" t="str">
        <f t="shared" si="4"/>
        <v>Searle Freedom Trust_State Policy Network2017300000</v>
      </c>
      <c r="C1156" s="4" t="str">
        <f ca="1">IFERROR(__xludf.DUMMYFUNCTION("ARRAY_CONSTRAIN(ARRAYFORMULA(SINGLE(TEXTJOIN(""_"",TRUE,D1156,G1156))), 1, 1)"),"Searle Freedom Trust_2017")</f>
        <v>Searle Freedom Trust_2017</v>
      </c>
      <c r="D1156" s="4" t="s">
        <v>11</v>
      </c>
      <c r="E1156" s="8" t="s">
        <v>46</v>
      </c>
      <c r="F1156" s="6">
        <v>300000</v>
      </c>
      <c r="G1156" s="4">
        <v>2017</v>
      </c>
      <c r="H1156" s="4" t="s">
        <v>361</v>
      </c>
    </row>
    <row r="1157" spans="1:8" ht="15.75" customHeight="1" x14ac:dyDescent="0.2">
      <c r="A1157" s="4">
        <v>990</v>
      </c>
      <c r="B1157" s="4" t="str">
        <f t="shared" si="4"/>
        <v>Searle Freedom Trust_State Policy Network2017299900</v>
      </c>
      <c r="C1157" s="4" t="str">
        <f ca="1">IFERROR(__xludf.DUMMYFUNCTION("ARRAY_CONSTRAIN(ARRAYFORMULA(SINGLE(TEXTJOIN(""_"",TRUE,D1157,G1157))), 1, 1)"),"Searle Freedom Trust_2017")</f>
        <v>Searle Freedom Trust_2017</v>
      </c>
      <c r="D1157" s="4" t="s">
        <v>11</v>
      </c>
      <c r="E1157" s="8" t="s">
        <v>46</v>
      </c>
      <c r="F1157" s="6">
        <v>299900</v>
      </c>
      <c r="G1157" s="4">
        <v>2017</v>
      </c>
      <c r="H1157" s="4" t="s">
        <v>361</v>
      </c>
    </row>
    <row r="1158" spans="1:8" ht="15.75" customHeight="1" x14ac:dyDescent="0.2">
      <c r="A1158" s="4">
        <v>990</v>
      </c>
      <c r="B1158" s="4" t="str">
        <f t="shared" si="4"/>
        <v>Searle Freedom Trust_State Policy Network201770000</v>
      </c>
      <c r="C1158" s="4" t="str">
        <f ca="1">IFERROR(__xludf.DUMMYFUNCTION("ARRAY_CONSTRAIN(ARRAYFORMULA(SINGLE(TEXTJOIN(""_"",TRUE,D1158,G1158))), 1, 1)"),"Searle Freedom Trust_2017")</f>
        <v>Searle Freedom Trust_2017</v>
      </c>
      <c r="D1158" s="4" t="s">
        <v>11</v>
      </c>
      <c r="E1158" s="8" t="s">
        <v>46</v>
      </c>
      <c r="F1158" s="6">
        <v>70000</v>
      </c>
      <c r="G1158" s="4">
        <v>2017</v>
      </c>
      <c r="H1158" s="4" t="s">
        <v>361</v>
      </c>
    </row>
    <row r="1159" spans="1:8" ht="15.75" customHeight="1" x14ac:dyDescent="0.2">
      <c r="A1159" s="4">
        <v>990</v>
      </c>
      <c r="B1159" s="4" t="str">
        <f t="shared" si="4"/>
        <v>Searle Freedom Trust_State Policy Network2016150000</v>
      </c>
      <c r="C1159" s="4" t="str">
        <f ca="1">IFERROR(__xludf.DUMMYFUNCTION("ARRAY_CONSTRAIN(ARRAYFORMULA(SINGLE(TEXTJOIN(""_"",TRUE,D1159,G1159))), 1, 1)"),"Searle Freedom Trust_2016")</f>
        <v>Searle Freedom Trust_2016</v>
      </c>
      <c r="D1159" s="4" t="s">
        <v>11</v>
      </c>
      <c r="E1159" s="8" t="s">
        <v>46</v>
      </c>
      <c r="F1159" s="6">
        <v>150000</v>
      </c>
      <c r="G1159" s="4">
        <v>2016</v>
      </c>
      <c r="H1159" s="4" t="s">
        <v>361</v>
      </c>
    </row>
    <row r="1160" spans="1:8" ht="15.75" customHeight="1" x14ac:dyDescent="0.2">
      <c r="A1160" s="4">
        <v>990</v>
      </c>
      <c r="B1160" s="4" t="str">
        <f t="shared" si="4"/>
        <v>Searle Freedom Trust_State Policy Network2016667375</v>
      </c>
      <c r="C1160" s="4" t="str">
        <f ca="1">IFERROR(__xludf.DUMMYFUNCTION("ARRAY_CONSTRAIN(ARRAYFORMULA(SINGLE(TEXTJOIN(""_"",TRUE,D1160,G1160))), 1, 1)"),"Searle Freedom Trust_2016")</f>
        <v>Searle Freedom Trust_2016</v>
      </c>
      <c r="D1160" s="4" t="s">
        <v>11</v>
      </c>
      <c r="E1160" s="8" t="s">
        <v>46</v>
      </c>
      <c r="F1160" s="6">
        <v>667375</v>
      </c>
      <c r="G1160" s="4">
        <v>2016</v>
      </c>
      <c r="H1160" s="4" t="s">
        <v>361</v>
      </c>
    </row>
    <row r="1161" spans="1:8" ht="15.75" customHeight="1" x14ac:dyDescent="0.2">
      <c r="A1161" s="4">
        <v>990</v>
      </c>
      <c r="B1161" s="4" t="str">
        <f t="shared" si="4"/>
        <v>Searle Freedom Trust_State Policy Network201675000</v>
      </c>
      <c r="C1161" s="4" t="str">
        <f ca="1">IFERROR(__xludf.DUMMYFUNCTION("ARRAY_CONSTRAIN(ARRAYFORMULA(SINGLE(TEXTJOIN(""_"",TRUE,D1161,G1161))), 1, 1)"),"Searle Freedom Trust_2016")</f>
        <v>Searle Freedom Trust_2016</v>
      </c>
      <c r="D1161" s="4" t="s">
        <v>11</v>
      </c>
      <c r="E1161" s="8" t="s">
        <v>46</v>
      </c>
      <c r="F1161" s="6">
        <v>75000</v>
      </c>
      <c r="G1161" s="4">
        <v>2016</v>
      </c>
      <c r="H1161" s="4" t="s">
        <v>361</v>
      </c>
    </row>
    <row r="1162" spans="1:8" ht="15.75" customHeight="1" x14ac:dyDescent="0.2">
      <c r="A1162" s="4">
        <v>990</v>
      </c>
      <c r="B1162" s="4" t="str">
        <f t="shared" si="4"/>
        <v>Searle Freedom Trust_State Policy Network2015966850</v>
      </c>
      <c r="C1162" s="4" t="str">
        <f ca="1">IFERROR(__xludf.DUMMYFUNCTION("ARRAY_CONSTRAIN(ARRAYFORMULA(SINGLE(TEXTJOIN(""_"",TRUE,D1162,G1162))), 1, 1)"),"Searle Freedom Trust_2015")</f>
        <v>Searle Freedom Trust_2015</v>
      </c>
      <c r="D1162" s="4" t="s">
        <v>11</v>
      </c>
      <c r="E1162" s="8" t="s">
        <v>46</v>
      </c>
      <c r="F1162" s="6">
        <v>966850</v>
      </c>
      <c r="G1162" s="4">
        <v>2015</v>
      </c>
      <c r="H1162" s="4" t="s">
        <v>361</v>
      </c>
    </row>
    <row r="1163" spans="1:8" ht="15.75" customHeight="1" x14ac:dyDescent="0.2">
      <c r="A1163" s="4">
        <v>990</v>
      </c>
      <c r="B1163" s="4" t="str">
        <f t="shared" si="4"/>
        <v>Searle Freedom Trust_State Policy Network2014312500</v>
      </c>
      <c r="C1163" s="4" t="str">
        <f ca="1">IFERROR(__xludf.DUMMYFUNCTION("ARRAY_CONSTRAIN(ARRAYFORMULA(SINGLE(TEXTJOIN(""_"",TRUE,D1163,G1163))), 1, 1)"),"Searle Freedom Trust_2014")</f>
        <v>Searle Freedom Trust_2014</v>
      </c>
      <c r="D1163" s="4" t="s">
        <v>11</v>
      </c>
      <c r="E1163" s="8" t="s">
        <v>46</v>
      </c>
      <c r="F1163" s="6">
        <v>312500</v>
      </c>
      <c r="G1163" s="4">
        <v>2014</v>
      </c>
      <c r="H1163" s="4" t="s">
        <v>361</v>
      </c>
    </row>
    <row r="1164" spans="1:8" ht="15.75" customHeight="1" x14ac:dyDescent="0.2">
      <c r="A1164" s="4">
        <v>990</v>
      </c>
      <c r="B1164" s="4" t="str">
        <f t="shared" si="4"/>
        <v>Searle Freedom Trust_State Policy Network201460000</v>
      </c>
      <c r="C1164" s="4" t="str">
        <f ca="1">IFERROR(__xludf.DUMMYFUNCTION("ARRAY_CONSTRAIN(ARRAYFORMULA(SINGLE(TEXTJOIN(""_"",TRUE,D1164,G1164))), 1, 1)"),"Searle Freedom Trust_2014")</f>
        <v>Searle Freedom Trust_2014</v>
      </c>
      <c r="D1164" s="4" t="s">
        <v>11</v>
      </c>
      <c r="E1164" s="8" t="s">
        <v>46</v>
      </c>
      <c r="F1164" s="6">
        <v>60000</v>
      </c>
      <c r="G1164" s="4">
        <v>2014</v>
      </c>
      <c r="H1164" s="4" t="s">
        <v>361</v>
      </c>
    </row>
    <row r="1165" spans="1:8" ht="15.75" customHeight="1" x14ac:dyDescent="0.2">
      <c r="A1165" s="4">
        <v>990</v>
      </c>
      <c r="B1165" s="4" t="str">
        <f t="shared" si="4"/>
        <v>Searle Freedom Trust_State Policy Network2013632000</v>
      </c>
      <c r="C1165" s="4" t="str">
        <f ca="1">IFERROR(__xludf.DUMMYFUNCTION("ARRAY_CONSTRAIN(ARRAYFORMULA(SINGLE(TEXTJOIN(""_"",TRUE,D1165,G1165))), 1, 1)"),"Searle Freedom Trust_2013")</f>
        <v>Searle Freedom Trust_2013</v>
      </c>
      <c r="D1165" s="4" t="s">
        <v>11</v>
      </c>
      <c r="E1165" s="8" t="s">
        <v>46</v>
      </c>
      <c r="F1165" s="6">
        <v>632000</v>
      </c>
      <c r="G1165" s="4">
        <v>2013</v>
      </c>
      <c r="H1165" s="4" t="s">
        <v>361</v>
      </c>
    </row>
    <row r="1166" spans="1:8" ht="15.75" customHeight="1" x14ac:dyDescent="0.2">
      <c r="A1166" s="4" t="s">
        <v>368</v>
      </c>
      <c r="B1166" s="4" t="str">
        <f t="shared" si="4"/>
        <v>Searle Freedom Trust_State Policy Network201220000</v>
      </c>
      <c r="C1166" s="4" t="str">
        <f ca="1">IFERROR(__xludf.DUMMYFUNCTION("ARRAY_CONSTRAIN(ARRAYFORMULA(SINGLE(TEXTJOIN(""_"",TRUE,D1166,G1166))), 1, 1)"),"Searle Freedom Trust_2012")</f>
        <v>Searle Freedom Trust_2012</v>
      </c>
      <c r="D1166" s="4" t="s">
        <v>11</v>
      </c>
      <c r="E1166" s="8" t="s">
        <v>46</v>
      </c>
      <c r="F1166" s="6">
        <v>20000</v>
      </c>
      <c r="G1166" s="4">
        <v>2012</v>
      </c>
      <c r="H1166" s="4" t="s">
        <v>359</v>
      </c>
    </row>
    <row r="1167" spans="1:8" ht="15.75" customHeight="1" x14ac:dyDescent="0.2">
      <c r="A1167" s="4" t="s">
        <v>368</v>
      </c>
      <c r="B1167" s="4" t="str">
        <f t="shared" si="4"/>
        <v>Searle Freedom Trust_State Policy Network2012200000</v>
      </c>
      <c r="C1167" s="4" t="str">
        <f ca="1">IFERROR(__xludf.DUMMYFUNCTION("ARRAY_CONSTRAIN(ARRAYFORMULA(SINGLE(TEXTJOIN(""_"",TRUE,D1167,G1167))), 1, 1)"),"Searle Freedom Trust_2012")</f>
        <v>Searle Freedom Trust_2012</v>
      </c>
      <c r="D1167" s="4" t="s">
        <v>11</v>
      </c>
      <c r="E1167" s="8" t="s">
        <v>46</v>
      </c>
      <c r="F1167" s="6">
        <v>200000</v>
      </c>
      <c r="G1167" s="4">
        <v>2012</v>
      </c>
      <c r="H1167" s="4" t="s">
        <v>359</v>
      </c>
    </row>
    <row r="1168" spans="1:8" ht="15.75" customHeight="1" x14ac:dyDescent="0.2">
      <c r="A1168" s="4" t="s">
        <v>368</v>
      </c>
      <c r="B1168" s="4" t="str">
        <f t="shared" si="4"/>
        <v>Searle Freedom Trust_State Policy Network2012297000</v>
      </c>
      <c r="C1168" s="4" t="str">
        <f ca="1">IFERROR(__xludf.DUMMYFUNCTION("ARRAY_CONSTRAIN(ARRAYFORMULA(SINGLE(TEXTJOIN(""_"",TRUE,D1168,G1168))), 1, 1)"),"Searle Freedom Trust_2012")</f>
        <v>Searle Freedom Trust_2012</v>
      </c>
      <c r="D1168" s="4" t="s">
        <v>11</v>
      </c>
      <c r="E1168" s="8" t="s">
        <v>46</v>
      </c>
      <c r="F1168" s="6">
        <v>297000</v>
      </c>
      <c r="G1168" s="4">
        <v>2012</v>
      </c>
      <c r="H1168" s="4" t="s">
        <v>359</v>
      </c>
    </row>
    <row r="1169" spans="1:8" ht="15.75" customHeight="1" x14ac:dyDescent="0.2">
      <c r="A1169" s="4" t="s">
        <v>368</v>
      </c>
      <c r="B1169" s="4" t="str">
        <f t="shared" si="4"/>
        <v>Searle Freedom Trust_State Policy Network201230000</v>
      </c>
      <c r="C1169" s="4" t="str">
        <f ca="1">IFERROR(__xludf.DUMMYFUNCTION("ARRAY_CONSTRAIN(ARRAYFORMULA(SINGLE(TEXTJOIN(""_"",TRUE,D1169,G1169))), 1, 1)"),"Searle Freedom Trust_2012")</f>
        <v>Searle Freedom Trust_2012</v>
      </c>
      <c r="D1169" s="4" t="s">
        <v>11</v>
      </c>
      <c r="E1169" s="8" t="s">
        <v>46</v>
      </c>
      <c r="F1169" s="6">
        <v>30000</v>
      </c>
      <c r="G1169" s="4">
        <v>2012</v>
      </c>
      <c r="H1169" s="4" t="s">
        <v>359</v>
      </c>
    </row>
    <row r="1170" spans="1:8" ht="15.75" customHeight="1" x14ac:dyDescent="0.2">
      <c r="A1170" s="4" t="s">
        <v>369</v>
      </c>
      <c r="B1170" s="4" t="str">
        <f t="shared" si="4"/>
        <v>Searle Freedom Trust_State Policy Network2011165000</v>
      </c>
      <c r="C1170" s="4" t="str">
        <f ca="1">IFERROR(__xludf.DUMMYFUNCTION("ARRAY_CONSTRAIN(ARRAYFORMULA(SINGLE(TEXTJOIN(""_"",TRUE,D1170,G1170))), 1, 1)"),"Searle Freedom Trust_2011")</f>
        <v>Searle Freedom Trust_2011</v>
      </c>
      <c r="D1170" s="4" t="s">
        <v>11</v>
      </c>
      <c r="E1170" s="8" t="s">
        <v>46</v>
      </c>
      <c r="F1170" s="6">
        <v>165000</v>
      </c>
      <c r="G1170" s="4">
        <v>2011</v>
      </c>
      <c r="H1170" s="4" t="s">
        <v>359</v>
      </c>
    </row>
    <row r="1171" spans="1:8" ht="15.75" customHeight="1" x14ac:dyDescent="0.2">
      <c r="A1171" s="4" t="s">
        <v>369</v>
      </c>
      <c r="B1171" s="4" t="str">
        <f t="shared" si="4"/>
        <v>Searle Freedom Trust_State Policy Network2011299000</v>
      </c>
      <c r="C1171" s="4" t="str">
        <f ca="1">IFERROR(__xludf.DUMMYFUNCTION("ARRAY_CONSTRAIN(ARRAYFORMULA(SINGLE(TEXTJOIN(""_"",TRUE,D1171,G1171))), 1, 1)"),"Searle Freedom Trust_2011")</f>
        <v>Searle Freedom Trust_2011</v>
      </c>
      <c r="D1171" s="4" t="s">
        <v>11</v>
      </c>
      <c r="E1171" s="8" t="s">
        <v>46</v>
      </c>
      <c r="F1171" s="6">
        <v>299000</v>
      </c>
      <c r="G1171" s="4">
        <v>2011</v>
      </c>
      <c r="H1171" s="4" t="s">
        <v>359</v>
      </c>
    </row>
    <row r="1172" spans="1:8" ht="15.75" customHeight="1" x14ac:dyDescent="0.2">
      <c r="A1172" s="4" t="s">
        <v>369</v>
      </c>
      <c r="B1172" s="4" t="str">
        <f t="shared" si="4"/>
        <v>Searle Freedom Trust_State Policy Network2010291500</v>
      </c>
      <c r="C1172" s="4" t="str">
        <f ca="1">IFERROR(__xludf.DUMMYFUNCTION("ARRAY_CONSTRAIN(ARRAYFORMULA(SINGLE(TEXTJOIN(""_"",TRUE,D1172,G1172))), 1, 1)"),"Searle Freedom Trust_2010")</f>
        <v>Searle Freedom Trust_2010</v>
      </c>
      <c r="D1172" s="4" t="s">
        <v>11</v>
      </c>
      <c r="E1172" s="8" t="s">
        <v>46</v>
      </c>
      <c r="F1172" s="6">
        <v>291500</v>
      </c>
      <c r="G1172" s="4">
        <v>2010</v>
      </c>
      <c r="H1172" s="4" t="s">
        <v>359</v>
      </c>
    </row>
    <row r="1173" spans="1:8" ht="15.75" customHeight="1" x14ac:dyDescent="0.2">
      <c r="A1173" s="4" t="s">
        <v>369</v>
      </c>
      <c r="B1173" s="4" t="str">
        <f t="shared" si="4"/>
        <v>Searle Freedom Trust_State Policy Network201030000</v>
      </c>
      <c r="C1173" s="4" t="str">
        <f ca="1">IFERROR(__xludf.DUMMYFUNCTION("ARRAY_CONSTRAIN(ARRAYFORMULA(SINGLE(TEXTJOIN(""_"",TRUE,D1173,G1173))), 1, 1)"),"Searle Freedom Trust_2010")</f>
        <v>Searle Freedom Trust_2010</v>
      </c>
      <c r="D1173" s="4" t="s">
        <v>11</v>
      </c>
      <c r="E1173" s="8" t="s">
        <v>46</v>
      </c>
      <c r="F1173" s="6">
        <v>30000</v>
      </c>
      <c r="G1173" s="4">
        <v>2010</v>
      </c>
      <c r="H1173" s="4" t="s">
        <v>359</v>
      </c>
    </row>
    <row r="1174" spans="1:8" ht="15.75" customHeight="1" x14ac:dyDescent="0.2">
      <c r="A1174" s="4" t="s">
        <v>369</v>
      </c>
      <c r="B1174" s="4" t="str">
        <f t="shared" si="4"/>
        <v>Searle Freedom Trust_State Policy Network201050000</v>
      </c>
      <c r="C1174" s="4" t="str">
        <f ca="1">IFERROR(__xludf.DUMMYFUNCTION("ARRAY_CONSTRAIN(ARRAYFORMULA(SINGLE(TEXTJOIN(""_"",TRUE,D1174,G1174))), 1, 1)"),"Searle Freedom Trust_2010")</f>
        <v>Searle Freedom Trust_2010</v>
      </c>
      <c r="D1174" s="4" t="s">
        <v>11</v>
      </c>
      <c r="E1174" s="8" t="s">
        <v>46</v>
      </c>
      <c r="F1174" s="6">
        <v>50000</v>
      </c>
      <c r="G1174" s="4">
        <v>2010</v>
      </c>
      <c r="H1174" s="4" t="s">
        <v>359</v>
      </c>
    </row>
    <row r="1175" spans="1:8" ht="15.75" customHeight="1" x14ac:dyDescent="0.2">
      <c r="A1175" s="4" t="s">
        <v>369</v>
      </c>
      <c r="B1175" s="4" t="str">
        <f t="shared" si="4"/>
        <v>Searle Freedom Trust_State Policy Network2009296000</v>
      </c>
      <c r="C1175" s="4" t="str">
        <f ca="1">IFERROR(__xludf.DUMMYFUNCTION("ARRAY_CONSTRAIN(ARRAYFORMULA(SINGLE(TEXTJOIN(""_"",TRUE,D1175,G1175))), 1, 1)"),"Searle Freedom Trust_2009")</f>
        <v>Searle Freedom Trust_2009</v>
      </c>
      <c r="D1175" s="4" t="s">
        <v>11</v>
      </c>
      <c r="E1175" s="8" t="s">
        <v>46</v>
      </c>
      <c r="F1175" s="6">
        <v>296000</v>
      </c>
      <c r="G1175" s="4">
        <v>2009</v>
      </c>
      <c r="H1175" s="4" t="s">
        <v>359</v>
      </c>
    </row>
    <row r="1176" spans="1:8" ht="15.75" customHeight="1" x14ac:dyDescent="0.2">
      <c r="A1176" s="4" t="s">
        <v>369</v>
      </c>
      <c r="B1176" s="4" t="str">
        <f t="shared" si="4"/>
        <v>Searle Freedom Trust_State Policy Network200945000</v>
      </c>
      <c r="C1176" s="4" t="str">
        <f ca="1">IFERROR(__xludf.DUMMYFUNCTION("ARRAY_CONSTRAIN(ARRAYFORMULA(SINGLE(TEXTJOIN(""_"",TRUE,D1176,G1176))), 1, 1)"),"Searle Freedom Trust_2009")</f>
        <v>Searle Freedom Trust_2009</v>
      </c>
      <c r="D1176" s="4" t="s">
        <v>11</v>
      </c>
      <c r="E1176" s="8" t="s">
        <v>46</v>
      </c>
      <c r="F1176" s="6">
        <v>45000</v>
      </c>
      <c r="G1176" s="4">
        <v>2009</v>
      </c>
      <c r="H1176" s="4" t="s">
        <v>359</v>
      </c>
    </row>
    <row r="1177" spans="1:8" ht="15.75" customHeight="1" x14ac:dyDescent="0.2">
      <c r="A1177" s="4" t="s">
        <v>369</v>
      </c>
      <c r="B1177" s="4" t="str">
        <f t="shared" si="4"/>
        <v>Searle Freedom Trust_State Policy Network200830000</v>
      </c>
      <c r="C1177" s="4" t="str">
        <f ca="1">IFERROR(__xludf.DUMMYFUNCTION("ARRAY_CONSTRAIN(ARRAYFORMULA(SINGLE(TEXTJOIN(""_"",TRUE,D1177,G1177))), 1, 1)"),"Searle Freedom Trust_2008")</f>
        <v>Searle Freedom Trust_2008</v>
      </c>
      <c r="D1177" s="4" t="s">
        <v>11</v>
      </c>
      <c r="E1177" s="8" t="s">
        <v>46</v>
      </c>
      <c r="F1177" s="6">
        <v>30000</v>
      </c>
      <c r="G1177" s="4">
        <v>2008</v>
      </c>
      <c r="H1177" s="4" t="s">
        <v>359</v>
      </c>
    </row>
    <row r="1178" spans="1:8" ht="15.75" customHeight="1" x14ac:dyDescent="0.2">
      <c r="A1178" s="4" t="s">
        <v>369</v>
      </c>
      <c r="B1178" s="4" t="str">
        <f t="shared" si="4"/>
        <v>Searle Freedom Trust_State Policy Network200830000</v>
      </c>
      <c r="C1178" s="4" t="str">
        <f ca="1">IFERROR(__xludf.DUMMYFUNCTION("ARRAY_CONSTRAIN(ARRAYFORMULA(SINGLE(TEXTJOIN(""_"",TRUE,D1178,G1178))), 1, 1)"),"Searle Freedom Trust_2008")</f>
        <v>Searle Freedom Trust_2008</v>
      </c>
      <c r="D1178" s="4" t="s">
        <v>11</v>
      </c>
      <c r="E1178" s="8" t="s">
        <v>46</v>
      </c>
      <c r="F1178" s="6">
        <v>30000</v>
      </c>
      <c r="G1178" s="4">
        <v>2008</v>
      </c>
      <c r="H1178" s="4" t="s">
        <v>359</v>
      </c>
    </row>
    <row r="1179" spans="1:8" ht="15.75" customHeight="1" x14ac:dyDescent="0.2">
      <c r="A1179" s="4" t="s">
        <v>369</v>
      </c>
      <c r="B1179" s="4" t="str">
        <f t="shared" si="4"/>
        <v>Searle Freedom Trust_State Policy Network2008300000</v>
      </c>
      <c r="C1179" s="4" t="str">
        <f ca="1">IFERROR(__xludf.DUMMYFUNCTION("ARRAY_CONSTRAIN(ARRAYFORMULA(SINGLE(TEXTJOIN(""_"",TRUE,D1179,G1179))), 1, 1)"),"Searle Freedom Trust_2008")</f>
        <v>Searle Freedom Trust_2008</v>
      </c>
      <c r="D1179" s="4" t="s">
        <v>11</v>
      </c>
      <c r="E1179" s="8" t="s">
        <v>46</v>
      </c>
      <c r="F1179" s="6">
        <v>300000</v>
      </c>
      <c r="G1179" s="4">
        <v>2008</v>
      </c>
      <c r="H1179" s="4" t="s">
        <v>359</v>
      </c>
    </row>
    <row r="1180" spans="1:8" ht="15.75" customHeight="1" x14ac:dyDescent="0.2">
      <c r="A1180" s="4" t="s">
        <v>369</v>
      </c>
      <c r="B1180" s="4" t="str">
        <f t="shared" si="4"/>
        <v>Searle Freedom Trust_State Policy Network200725000</v>
      </c>
      <c r="C1180" s="4" t="str">
        <f ca="1">IFERROR(__xludf.DUMMYFUNCTION("ARRAY_CONSTRAIN(ARRAYFORMULA(SINGLE(TEXTJOIN(""_"",TRUE,D1180,G1180))), 1, 1)"),"Searle Freedom Trust_2007")</f>
        <v>Searle Freedom Trust_2007</v>
      </c>
      <c r="D1180" s="4" t="s">
        <v>11</v>
      </c>
      <c r="E1180" s="8" t="s">
        <v>46</v>
      </c>
      <c r="F1180" s="6">
        <v>25000</v>
      </c>
      <c r="G1180" s="4">
        <v>2007</v>
      </c>
      <c r="H1180" s="4" t="s">
        <v>359</v>
      </c>
    </row>
    <row r="1181" spans="1:8" ht="15.75" customHeight="1" x14ac:dyDescent="0.2">
      <c r="A1181" s="4" t="s">
        <v>369</v>
      </c>
      <c r="B1181" s="4" t="str">
        <f t="shared" si="4"/>
        <v>Searle Freedom Trust_State Policy Network200730000</v>
      </c>
      <c r="C1181" s="4" t="str">
        <f ca="1">IFERROR(__xludf.DUMMYFUNCTION("ARRAY_CONSTRAIN(ARRAYFORMULA(SINGLE(TEXTJOIN(""_"",TRUE,D1181,G1181))), 1, 1)"),"Searle Freedom Trust_2007")</f>
        <v>Searle Freedom Trust_2007</v>
      </c>
      <c r="D1181" s="4" t="s">
        <v>11</v>
      </c>
      <c r="E1181" s="8" t="s">
        <v>46</v>
      </c>
      <c r="F1181" s="6">
        <v>30000</v>
      </c>
      <c r="G1181" s="4">
        <v>2007</v>
      </c>
      <c r="H1181" s="4" t="s">
        <v>359</v>
      </c>
    </row>
    <row r="1182" spans="1:8" ht="15.75" customHeight="1" x14ac:dyDescent="0.2">
      <c r="A1182" s="4" t="s">
        <v>369</v>
      </c>
      <c r="B1182" s="4" t="str">
        <f t="shared" si="4"/>
        <v>Searle Freedom Trust_State Policy Network2007300000</v>
      </c>
      <c r="C1182" s="4" t="str">
        <f ca="1">IFERROR(__xludf.DUMMYFUNCTION("ARRAY_CONSTRAIN(ARRAYFORMULA(SINGLE(TEXTJOIN(""_"",TRUE,D1182,G1182))), 1, 1)"),"Searle Freedom Trust_2007")</f>
        <v>Searle Freedom Trust_2007</v>
      </c>
      <c r="D1182" s="4" t="s">
        <v>11</v>
      </c>
      <c r="E1182" s="8" t="s">
        <v>46</v>
      </c>
      <c r="F1182" s="6">
        <v>300000</v>
      </c>
      <c r="G1182" s="4">
        <v>2007</v>
      </c>
      <c r="H1182" s="4" t="s">
        <v>359</v>
      </c>
    </row>
    <row r="1183" spans="1:8" ht="15.75" customHeight="1" x14ac:dyDescent="0.2">
      <c r="A1183" s="4" t="s">
        <v>369</v>
      </c>
      <c r="B1183" s="4" t="str">
        <f t="shared" si="4"/>
        <v>Searle Freedom Trust_State Policy Network2006216000</v>
      </c>
      <c r="C1183" s="4" t="str">
        <f ca="1">IFERROR(__xludf.DUMMYFUNCTION("ARRAY_CONSTRAIN(ARRAYFORMULA(SINGLE(TEXTJOIN(""_"",TRUE,D1183,G1183))), 1, 1)"),"Searle Freedom Trust_2006")</f>
        <v>Searle Freedom Trust_2006</v>
      </c>
      <c r="D1183" s="4" t="s">
        <v>11</v>
      </c>
      <c r="E1183" s="8" t="s">
        <v>46</v>
      </c>
      <c r="F1183" s="6">
        <v>216000</v>
      </c>
      <c r="G1183" s="4">
        <v>2006</v>
      </c>
      <c r="H1183" s="4" t="s">
        <v>359</v>
      </c>
    </row>
    <row r="1184" spans="1:8" ht="15.75" customHeight="1" x14ac:dyDescent="0.2">
      <c r="A1184" s="4" t="s">
        <v>369</v>
      </c>
      <c r="B1184" s="4" t="str">
        <f t="shared" si="4"/>
        <v>Searle Freedom Trust_State Policy Network200625000</v>
      </c>
      <c r="C1184" s="4" t="str">
        <f ca="1">IFERROR(__xludf.DUMMYFUNCTION("ARRAY_CONSTRAIN(ARRAYFORMULA(SINGLE(TEXTJOIN(""_"",TRUE,D1184,G1184))), 1, 1)"),"Searle Freedom Trust_2006")</f>
        <v>Searle Freedom Trust_2006</v>
      </c>
      <c r="D1184" s="4" t="s">
        <v>11</v>
      </c>
      <c r="E1184" s="8" t="s">
        <v>46</v>
      </c>
      <c r="F1184" s="6">
        <v>25000</v>
      </c>
      <c r="G1184" s="4">
        <v>2006</v>
      </c>
      <c r="H1184" s="4" t="s">
        <v>359</v>
      </c>
    </row>
    <row r="1185" spans="1:8" ht="15.75" customHeight="1" x14ac:dyDescent="0.2">
      <c r="A1185" s="4" t="s">
        <v>369</v>
      </c>
      <c r="B1185" s="4" t="str">
        <f t="shared" si="4"/>
        <v>Searle Freedom Trust_State Policy Network20067500</v>
      </c>
      <c r="C1185" s="4" t="str">
        <f ca="1">IFERROR(__xludf.DUMMYFUNCTION("ARRAY_CONSTRAIN(ARRAYFORMULA(SINGLE(TEXTJOIN(""_"",TRUE,D1185,G1185))), 1, 1)"),"Searle Freedom Trust_2006")</f>
        <v>Searle Freedom Trust_2006</v>
      </c>
      <c r="D1185" s="4" t="s">
        <v>11</v>
      </c>
      <c r="E1185" s="8" t="s">
        <v>46</v>
      </c>
      <c r="F1185" s="6">
        <v>7500</v>
      </c>
      <c r="G1185" s="4">
        <v>2006</v>
      </c>
      <c r="H1185" s="4" t="s">
        <v>359</v>
      </c>
    </row>
    <row r="1186" spans="1:8" ht="15.75" customHeight="1" x14ac:dyDescent="0.2">
      <c r="A1186" s="4" t="s">
        <v>369</v>
      </c>
      <c r="B1186" s="4" t="str">
        <f t="shared" si="4"/>
        <v>Searle Freedom Trust_State Policy Network200415000</v>
      </c>
      <c r="C1186" s="4" t="str">
        <f ca="1">IFERROR(__xludf.DUMMYFUNCTION("ARRAY_CONSTRAIN(ARRAYFORMULA(SINGLE(TEXTJOIN(""_"",TRUE,D1186,G1186))), 1, 1)"),"Searle Freedom Trust_2004")</f>
        <v>Searle Freedom Trust_2004</v>
      </c>
      <c r="D1186" s="4" t="s">
        <v>11</v>
      </c>
      <c r="E1186" s="8" t="s">
        <v>46</v>
      </c>
      <c r="F1186" s="6">
        <v>15000</v>
      </c>
      <c r="G1186" s="4">
        <v>2004</v>
      </c>
      <c r="H1186" s="4" t="s">
        <v>359</v>
      </c>
    </row>
    <row r="1187" spans="1:8" ht="15.75" customHeight="1" x14ac:dyDescent="0.2">
      <c r="A1187" s="5" t="s">
        <v>716</v>
      </c>
      <c r="B1187" s="4" t="str">
        <f t="shared" si="4"/>
        <v>Seattle Foundation_State Policy Network202110000</v>
      </c>
      <c r="C1187" s="4" t="str">
        <f ca="1">IFERROR(__xludf.DUMMYFUNCTION("ARRAY_CONSTRAIN(ARRAYFORMULA(SINGLE(TEXTJOIN(""_"",TRUE,D1187,G1187))), 1, 1)"),"Seattle Foundation_2021")</f>
        <v>Seattle Foundation_2021</v>
      </c>
      <c r="D1187" s="4" t="s">
        <v>80</v>
      </c>
      <c r="E1187" s="8" t="s">
        <v>46</v>
      </c>
      <c r="F1187" s="6">
        <v>10000</v>
      </c>
      <c r="G1187" s="4">
        <v>2021</v>
      </c>
      <c r="H1187" s="4" t="s">
        <v>361</v>
      </c>
    </row>
    <row r="1188" spans="1:8" ht="15.75" customHeight="1" x14ac:dyDescent="0.2">
      <c r="A1188" s="5" t="s">
        <v>717</v>
      </c>
      <c r="B1188" s="4" t="str">
        <f t="shared" si="4"/>
        <v>Seattle Foundation_State Policy Network202010000</v>
      </c>
      <c r="C1188" s="4" t="str">
        <f ca="1">IFERROR(__xludf.DUMMYFUNCTION("ARRAY_CONSTRAIN(ARRAYFORMULA(SINGLE(TEXTJOIN(""_"",TRUE,D1188,G1188))), 1, 1)"),"Seattle Foundation_2020")</f>
        <v>Seattle Foundation_2020</v>
      </c>
      <c r="D1188" s="4" t="s">
        <v>80</v>
      </c>
      <c r="E1188" s="8" t="s">
        <v>46</v>
      </c>
      <c r="F1188" s="6">
        <v>10000</v>
      </c>
      <c r="G1188" s="4">
        <v>2020</v>
      </c>
      <c r="H1188" s="4" t="s">
        <v>361</v>
      </c>
    </row>
    <row r="1189" spans="1:8" ht="15.75" customHeight="1" x14ac:dyDescent="0.2">
      <c r="A1189" s="5" t="s">
        <v>718</v>
      </c>
      <c r="B1189" s="4" t="str">
        <f t="shared" si="4"/>
        <v>Seattle Foundation_State Policy Network201910000</v>
      </c>
      <c r="C1189" s="4" t="str">
        <f ca="1">IFERROR(__xludf.DUMMYFUNCTION("ARRAY_CONSTRAIN(ARRAYFORMULA(SINGLE(TEXTJOIN(""_"",TRUE,D1189,G1189))), 1, 1)"),"Seattle Foundation_2019")</f>
        <v>Seattle Foundation_2019</v>
      </c>
      <c r="D1189" s="4" t="s">
        <v>80</v>
      </c>
      <c r="E1189" s="8" t="s">
        <v>46</v>
      </c>
      <c r="F1189" s="6">
        <v>10000</v>
      </c>
      <c r="G1189" s="4">
        <v>2019</v>
      </c>
      <c r="H1189" s="4" t="s">
        <v>361</v>
      </c>
    </row>
    <row r="1190" spans="1:8" ht="15.75" customHeight="1" x14ac:dyDescent="0.2">
      <c r="A1190" s="5" t="s">
        <v>719</v>
      </c>
      <c r="B1190" s="4" t="str">
        <f t="shared" si="4"/>
        <v>Seattle Foundation_State Policy Network201810000</v>
      </c>
      <c r="C1190" s="4" t="str">
        <f ca="1">IFERROR(__xludf.DUMMYFUNCTION("ARRAY_CONSTRAIN(ARRAYFORMULA(SINGLE(TEXTJOIN(""_"",TRUE,D1190,G1190))), 1, 1)"),"Seattle Foundation_2018")</f>
        <v>Seattle Foundation_2018</v>
      </c>
      <c r="D1190" s="4" t="s">
        <v>80</v>
      </c>
      <c r="E1190" s="8" t="s">
        <v>46</v>
      </c>
      <c r="F1190" s="6">
        <v>10000</v>
      </c>
      <c r="G1190" s="4">
        <v>2018</v>
      </c>
      <c r="H1190" s="4" t="s">
        <v>361</v>
      </c>
    </row>
    <row r="1191" spans="1:8" ht="15.75" customHeight="1" x14ac:dyDescent="0.2">
      <c r="A1191" s="5" t="s">
        <v>720</v>
      </c>
      <c r="B1191" s="4" t="str">
        <f t="shared" si="4"/>
        <v>Shell Oil Company Foundation_State Policy Network2021100</v>
      </c>
      <c r="C1191" s="4" t="str">
        <f ca="1">IFERROR(__xludf.DUMMYFUNCTION("ARRAY_CONSTRAIN(ARRAYFORMULA(SINGLE(TEXTJOIN(""_"",TRUE,D1191,G1191))), 1, 1)"),"Shell Oil Company Foundation_2021")</f>
        <v>Shell Oil Company Foundation_2021</v>
      </c>
      <c r="D1191" s="4" t="s">
        <v>196</v>
      </c>
      <c r="E1191" s="8" t="s">
        <v>46</v>
      </c>
      <c r="F1191" s="6">
        <v>100</v>
      </c>
      <c r="G1191" s="4">
        <v>2021</v>
      </c>
      <c r="H1191" s="4" t="s">
        <v>361</v>
      </c>
    </row>
    <row r="1192" spans="1:8" ht="15.75" customHeight="1" x14ac:dyDescent="0.2">
      <c r="A1192" s="4">
        <v>990</v>
      </c>
      <c r="B1192" s="4" t="str">
        <f t="shared" si="4"/>
        <v>Shell Oil Company Foundation_State Policy Network2019150</v>
      </c>
      <c r="C1192" s="4" t="str">
        <f ca="1">IFERROR(__xludf.DUMMYFUNCTION("ARRAY_CONSTRAIN(ARRAYFORMULA(SINGLE(TEXTJOIN(""_"",TRUE,D1192,G1192))), 1, 1)"),"Shell Oil Company Foundation_2019")</f>
        <v>Shell Oil Company Foundation_2019</v>
      </c>
      <c r="D1192" s="4" t="s">
        <v>196</v>
      </c>
      <c r="E1192" s="8" t="s">
        <v>46</v>
      </c>
      <c r="F1192" s="6">
        <v>150</v>
      </c>
      <c r="G1192" s="4">
        <v>2019</v>
      </c>
      <c r="H1192" s="4" t="s">
        <v>361</v>
      </c>
    </row>
    <row r="1193" spans="1:8" ht="15.75" customHeight="1" x14ac:dyDescent="0.2">
      <c r="A1193" s="5" t="s">
        <v>721</v>
      </c>
      <c r="B1193" s="4" t="str">
        <f t="shared" si="4"/>
        <v>Shell Oil Company Foundation_State Policy Network2018100</v>
      </c>
      <c r="C1193" s="4" t="str">
        <f ca="1">IFERROR(__xludf.DUMMYFUNCTION("ARRAY_CONSTRAIN(ARRAYFORMULA(SINGLE(TEXTJOIN(""_"",TRUE,D1193,G1193))), 1, 1)"),"Shell Oil Company Foundation_2018")</f>
        <v>Shell Oil Company Foundation_2018</v>
      </c>
      <c r="D1193" s="4" t="s">
        <v>196</v>
      </c>
      <c r="E1193" s="8" t="s">
        <v>46</v>
      </c>
      <c r="F1193" s="6">
        <v>100</v>
      </c>
      <c r="G1193" s="4">
        <v>2018</v>
      </c>
      <c r="H1193" s="4" t="s">
        <v>361</v>
      </c>
    </row>
    <row r="1194" spans="1:8" ht="15.75" customHeight="1" x14ac:dyDescent="0.2">
      <c r="A1194" s="5" t="s">
        <v>722</v>
      </c>
      <c r="B1194" s="4" t="str">
        <f t="shared" si="4"/>
        <v>Shell Oil Company Foundation_State Policy Network201630</v>
      </c>
      <c r="C1194" s="4" t="str">
        <f ca="1">IFERROR(__xludf.DUMMYFUNCTION("ARRAY_CONSTRAIN(ARRAYFORMULA(SINGLE(TEXTJOIN(""_"",TRUE,D1194,G1194))), 1, 1)"),"Shell Oil Company Foundation_2016")</f>
        <v>Shell Oil Company Foundation_2016</v>
      </c>
      <c r="D1194" s="4" t="s">
        <v>196</v>
      </c>
      <c r="E1194" s="8" t="s">
        <v>46</v>
      </c>
      <c r="F1194" s="6">
        <v>30</v>
      </c>
      <c r="G1194" s="4">
        <v>2016</v>
      </c>
      <c r="H1194" s="4" t="s">
        <v>361</v>
      </c>
    </row>
    <row r="1195" spans="1:8" ht="15.75" customHeight="1" x14ac:dyDescent="0.2">
      <c r="A1195" s="5" t="s">
        <v>723</v>
      </c>
      <c r="B1195" s="4" t="str">
        <f t="shared" si="4"/>
        <v>Shell Oil Company Foundation_State Policy Network2014130</v>
      </c>
      <c r="C1195" s="4" t="str">
        <f ca="1">IFERROR(__xludf.DUMMYFUNCTION("ARRAY_CONSTRAIN(ARRAYFORMULA(SINGLE(TEXTJOIN(""_"",TRUE,D1195,G1195))), 1, 1)"),"Shell Oil Company Foundation_2014")</f>
        <v>Shell Oil Company Foundation_2014</v>
      </c>
      <c r="D1195" s="4" t="s">
        <v>196</v>
      </c>
      <c r="E1195" s="8" t="s">
        <v>46</v>
      </c>
      <c r="F1195" s="6">
        <v>130</v>
      </c>
      <c r="G1195" s="4">
        <v>2014</v>
      </c>
      <c r="H1195" s="4" t="s">
        <v>361</v>
      </c>
    </row>
    <row r="1196" spans="1:8" ht="15.75" customHeight="1" x14ac:dyDescent="0.2">
      <c r="A1196" s="5" t="s">
        <v>724</v>
      </c>
      <c r="B1196" s="4" t="str">
        <f t="shared" si="4"/>
        <v>Shepherds Hand_State Policy Network20201000</v>
      </c>
      <c r="C1196" s="4" t="str">
        <f ca="1">IFERROR(__xludf.DUMMYFUNCTION("ARRAY_CONSTRAIN(ARRAYFORMULA(SINGLE(TEXTJOIN(""_"",TRUE,D1196,G1196))), 1, 1)"),"Shepherds Hand_2020")</f>
        <v>Shepherds Hand_2020</v>
      </c>
      <c r="D1196" s="4" t="s">
        <v>136</v>
      </c>
      <c r="E1196" s="8" t="s">
        <v>46</v>
      </c>
      <c r="F1196" s="6">
        <v>1000</v>
      </c>
      <c r="G1196" s="4">
        <v>2020</v>
      </c>
      <c r="H1196" s="4" t="s">
        <v>361</v>
      </c>
    </row>
    <row r="1197" spans="1:8" ht="15.75" customHeight="1" x14ac:dyDescent="0.2">
      <c r="A1197" s="5" t="s">
        <v>725</v>
      </c>
      <c r="B1197" s="4" t="str">
        <f t="shared" si="4"/>
        <v>Shepherds Hand_State Policy Network20192000</v>
      </c>
      <c r="C1197" s="4" t="str">
        <f ca="1">IFERROR(__xludf.DUMMYFUNCTION("ARRAY_CONSTRAIN(ARRAYFORMULA(SINGLE(TEXTJOIN(""_"",TRUE,D1197,G1197))), 1, 1)"),"Shepherds Hand_2019")</f>
        <v>Shepherds Hand_2019</v>
      </c>
      <c r="D1197" s="4" t="s">
        <v>136</v>
      </c>
      <c r="E1197" s="8" t="s">
        <v>46</v>
      </c>
      <c r="F1197" s="6">
        <v>2000</v>
      </c>
      <c r="G1197" s="4">
        <v>2019</v>
      </c>
      <c r="H1197" s="4" t="s">
        <v>361</v>
      </c>
    </row>
    <row r="1198" spans="1:8" ht="15.75" customHeight="1" x14ac:dyDescent="0.2">
      <c r="A1198" s="5" t="s">
        <v>726</v>
      </c>
      <c r="B1198" s="4" t="str">
        <f t="shared" si="4"/>
        <v>Shepherds Hand_State Policy Network20182000</v>
      </c>
      <c r="C1198" s="4" t="str">
        <f ca="1">IFERROR(__xludf.DUMMYFUNCTION("ARRAY_CONSTRAIN(ARRAYFORMULA(SINGLE(TEXTJOIN(""_"",TRUE,D1198,G1198))), 1, 1)"),"Shepherds Hand_2018")</f>
        <v>Shepherds Hand_2018</v>
      </c>
      <c r="D1198" s="4" t="s">
        <v>136</v>
      </c>
      <c r="E1198" s="8" t="s">
        <v>46</v>
      </c>
      <c r="F1198" s="6">
        <v>2000</v>
      </c>
      <c r="G1198" s="4">
        <v>2018</v>
      </c>
      <c r="H1198" s="4" t="s">
        <v>361</v>
      </c>
    </row>
    <row r="1199" spans="1:8" ht="15.75" customHeight="1" x14ac:dyDescent="0.2">
      <c r="A1199" s="5" t="s">
        <v>727</v>
      </c>
      <c r="B1199" s="4" t="str">
        <f t="shared" si="4"/>
        <v>Shepherds Hand_State Policy Network2016500</v>
      </c>
      <c r="C1199" s="4" t="str">
        <f ca="1">IFERROR(__xludf.DUMMYFUNCTION("ARRAY_CONSTRAIN(ARRAYFORMULA(SINGLE(TEXTJOIN(""_"",TRUE,D1199,G1199))), 1, 1)"),"Shepherds Hand_2016")</f>
        <v>Shepherds Hand_2016</v>
      </c>
      <c r="D1199" s="4" t="s">
        <v>136</v>
      </c>
      <c r="E1199" s="8" t="s">
        <v>46</v>
      </c>
      <c r="F1199" s="6">
        <v>500</v>
      </c>
      <c r="G1199" s="4">
        <v>2016</v>
      </c>
      <c r="H1199" s="4" t="s">
        <v>361</v>
      </c>
    </row>
    <row r="1200" spans="1:8" ht="15.75" customHeight="1" x14ac:dyDescent="0.2">
      <c r="A1200" s="5" t="s">
        <v>728</v>
      </c>
      <c r="B1200" s="4" t="str">
        <f t="shared" si="4"/>
        <v>Shepherds Hand_State Policy Network20132000</v>
      </c>
      <c r="C1200" s="4" t="str">
        <f ca="1">IFERROR(__xludf.DUMMYFUNCTION("ARRAY_CONSTRAIN(ARRAYFORMULA(SINGLE(TEXTJOIN(""_"",TRUE,D1200,G1200))), 1, 1)"),"Shepherds Hand_2013")</f>
        <v>Shepherds Hand_2013</v>
      </c>
      <c r="D1200" s="4" t="s">
        <v>136</v>
      </c>
      <c r="E1200" s="8" t="s">
        <v>46</v>
      </c>
      <c r="F1200" s="6">
        <v>2000</v>
      </c>
      <c r="G1200" s="4">
        <v>2013</v>
      </c>
      <c r="H1200" s="4" t="s">
        <v>361</v>
      </c>
    </row>
    <row r="1201" spans="1:8" ht="15.75" customHeight="1" x14ac:dyDescent="0.2">
      <c r="A1201" s="5" t="s">
        <v>729</v>
      </c>
      <c r="B1201" s="4" t="str">
        <f t="shared" si="4"/>
        <v>Short Family Foundation_State Policy Network2018250</v>
      </c>
      <c r="C1201" s="4" t="str">
        <f ca="1">IFERROR(__xludf.DUMMYFUNCTION("ARRAY_CONSTRAIN(ARRAYFORMULA(SINGLE(TEXTJOIN(""_"",TRUE,D1201,G1201))), 1, 1)"),"Short Family Foundation_2018")</f>
        <v>Short Family Foundation_2018</v>
      </c>
      <c r="D1201" s="4" t="s">
        <v>211</v>
      </c>
      <c r="E1201" s="8" t="s">
        <v>46</v>
      </c>
      <c r="F1201" s="6">
        <v>250</v>
      </c>
      <c r="G1201" s="4">
        <v>2018</v>
      </c>
      <c r="H1201" s="4" t="s">
        <v>361</v>
      </c>
    </row>
    <row r="1202" spans="1:8" ht="15.75" customHeight="1" x14ac:dyDescent="0.2">
      <c r="A1202" s="5" t="s">
        <v>730</v>
      </c>
      <c r="B1202" s="4" t="str">
        <f t="shared" si="4"/>
        <v>Snider Foundation_State Policy Network20201000</v>
      </c>
      <c r="C1202" s="4" t="str">
        <f ca="1">IFERROR(__xludf.DUMMYFUNCTION("ARRAY_CONSTRAIN(ARRAYFORMULA(SINGLE(TEXTJOIN(""_"",TRUE,D1202,G1202))), 1, 1)"),"Snider Foundation_2020")</f>
        <v>Snider Foundation_2020</v>
      </c>
      <c r="D1202" s="4" t="s">
        <v>176</v>
      </c>
      <c r="E1202" s="8" t="s">
        <v>46</v>
      </c>
      <c r="F1202" s="6">
        <v>1000</v>
      </c>
      <c r="G1202" s="4">
        <v>2020</v>
      </c>
      <c r="H1202" s="4" t="s">
        <v>361</v>
      </c>
    </row>
    <row r="1203" spans="1:8" ht="15.75" customHeight="1" x14ac:dyDescent="0.2">
      <c r="A1203" s="4">
        <v>990</v>
      </c>
      <c r="B1203" s="4" t="str">
        <f t="shared" si="4"/>
        <v>State Policy Network_Alaska Policy Forum2022175000</v>
      </c>
      <c r="C1203" s="4" t="str">
        <f ca="1">IFERROR(__xludf.DUMMYFUNCTION("ARRAY_CONSTRAIN(ARRAYFORMULA(SINGLE(TEXTJOIN(""_"",TRUE,D1203,G1203))), 1, 1)"),"State Policy Network_2022")</f>
        <v>State Policy Network_2022</v>
      </c>
      <c r="D1203" s="4" t="s">
        <v>46</v>
      </c>
      <c r="E1203" s="8" t="s">
        <v>236</v>
      </c>
      <c r="F1203" s="6">
        <v>175000</v>
      </c>
      <c r="G1203" s="4">
        <v>2022</v>
      </c>
      <c r="H1203" s="4" t="s">
        <v>361</v>
      </c>
    </row>
    <row r="1204" spans="1:8" ht="15.75" customHeight="1" x14ac:dyDescent="0.2">
      <c r="A1204" s="4">
        <v>990</v>
      </c>
      <c r="B1204" s="4" t="str">
        <f t="shared" si="4"/>
        <v>State Policy Network_Asu Prep Global Academy202237500</v>
      </c>
      <c r="C1204" s="4" t="str">
        <f ca="1">IFERROR(__xludf.DUMMYFUNCTION("ARRAY_CONSTRAIN(ARRAYFORMULA(SINGLE(TEXTJOIN(""_"",TRUE,D1204,G1204))), 1, 1)"),"State Policy Network_2022")</f>
        <v>State Policy Network_2022</v>
      </c>
      <c r="D1204" s="4" t="s">
        <v>46</v>
      </c>
      <c r="E1204" s="8" t="s">
        <v>246</v>
      </c>
      <c r="F1204" s="6">
        <v>37500</v>
      </c>
      <c r="G1204" s="4">
        <v>2022</v>
      </c>
      <c r="H1204" s="4" t="s">
        <v>361</v>
      </c>
    </row>
    <row r="1205" spans="1:8" ht="15.75" customHeight="1" x14ac:dyDescent="0.2">
      <c r="A1205" s="4">
        <v>990</v>
      </c>
      <c r="B1205" s="4" t="str">
        <f t="shared" si="4"/>
        <v>State Policy Network_Badger Institute202279000</v>
      </c>
      <c r="C1205" s="4" t="str">
        <f ca="1">IFERROR(__xludf.DUMMYFUNCTION("ARRAY_CONSTRAIN(ARRAYFORMULA(SINGLE(TEXTJOIN(""_"",TRUE,D1205,G1205))), 1, 1)"),"State Policy Network_2022")</f>
        <v>State Policy Network_2022</v>
      </c>
      <c r="D1205" s="4" t="s">
        <v>46</v>
      </c>
      <c r="E1205" s="8" t="s">
        <v>247</v>
      </c>
      <c r="F1205" s="6">
        <v>79000</v>
      </c>
      <c r="G1205" s="4">
        <v>2022</v>
      </c>
      <c r="H1205" s="4" t="s">
        <v>361</v>
      </c>
    </row>
    <row r="1206" spans="1:8" ht="15.75" customHeight="1" x14ac:dyDescent="0.2">
      <c r="A1206" s="4">
        <v>990</v>
      </c>
      <c r="B1206" s="4" t="str">
        <f t="shared" si="4"/>
        <v>State Policy Network_Beacon Center of Tennessee2022318500</v>
      </c>
      <c r="C1206" s="4" t="str">
        <f ca="1">IFERROR(__xludf.DUMMYFUNCTION("ARRAY_CONSTRAIN(ARRAYFORMULA(SINGLE(TEXTJOIN(""_"",TRUE,D1206,G1206))), 1, 1)"),"State Policy Network_2022")</f>
        <v>State Policy Network_2022</v>
      </c>
      <c r="D1206" s="4" t="s">
        <v>46</v>
      </c>
      <c r="E1206" s="8" t="s">
        <v>249</v>
      </c>
      <c r="F1206" s="6">
        <v>318500</v>
      </c>
      <c r="G1206" s="4">
        <v>2022</v>
      </c>
      <c r="H1206" s="4" t="s">
        <v>361</v>
      </c>
    </row>
    <row r="1207" spans="1:8" ht="15.75" customHeight="1" x14ac:dyDescent="0.2">
      <c r="A1207" s="4">
        <v>990</v>
      </c>
      <c r="B1207" s="4" t="str">
        <f t="shared" si="4"/>
        <v>State Policy Network_California Policy Center2022107188</v>
      </c>
      <c r="C1207" s="4" t="str">
        <f ca="1">IFERROR(__xludf.DUMMYFUNCTION("ARRAY_CONSTRAIN(ARRAYFORMULA(SINGLE(TEXTJOIN(""_"",TRUE,D1207,G1207))), 1, 1)"),"State Policy Network_2022")</f>
        <v>State Policy Network_2022</v>
      </c>
      <c r="D1207" s="4" t="s">
        <v>46</v>
      </c>
      <c r="E1207" s="8" t="s">
        <v>254</v>
      </c>
      <c r="F1207" s="6">
        <v>107188</v>
      </c>
      <c r="G1207" s="4">
        <v>2022</v>
      </c>
      <c r="H1207" s="4" t="s">
        <v>361</v>
      </c>
    </row>
    <row r="1208" spans="1:8" ht="15.75" customHeight="1" x14ac:dyDescent="0.2">
      <c r="A1208" s="4">
        <v>990</v>
      </c>
      <c r="B1208" s="4" t="str">
        <f t="shared" si="4"/>
        <v>State Policy Network_Cardinal Institute for West Virginia Policy2022397000</v>
      </c>
      <c r="C1208" s="4" t="str">
        <f ca="1">IFERROR(__xludf.DUMMYFUNCTION("ARRAY_CONSTRAIN(ARRAYFORMULA(SINGLE(TEXTJOIN(""_"",TRUE,D1208,G1208))), 1, 1)"),"State Policy Network_2022")</f>
        <v>State Policy Network_2022</v>
      </c>
      <c r="D1208" s="4" t="s">
        <v>46</v>
      </c>
      <c r="E1208" s="8" t="s">
        <v>255</v>
      </c>
      <c r="F1208" s="6">
        <v>397000</v>
      </c>
      <c r="G1208" s="4">
        <v>2022</v>
      </c>
      <c r="H1208" s="4" t="s">
        <v>361</v>
      </c>
    </row>
    <row r="1209" spans="1:8" ht="15.75" customHeight="1" x14ac:dyDescent="0.2">
      <c r="A1209" s="4">
        <v>990</v>
      </c>
      <c r="B1209" s="4" t="str">
        <f t="shared" si="4"/>
        <v>State Policy Network_Cascade Policy Institute2022129500</v>
      </c>
      <c r="C1209" s="4" t="str">
        <f ca="1">IFERROR(__xludf.DUMMYFUNCTION("ARRAY_CONSTRAIN(ARRAYFORMULA(SINGLE(TEXTJOIN(""_"",TRUE,D1209,G1209))), 1, 1)"),"State Policy Network_2022")</f>
        <v>State Policy Network_2022</v>
      </c>
      <c r="D1209" s="4" t="s">
        <v>46</v>
      </c>
      <c r="E1209" s="8" t="s">
        <v>256</v>
      </c>
      <c r="F1209" s="6">
        <v>129500</v>
      </c>
      <c r="G1209" s="4">
        <v>2022</v>
      </c>
      <c r="H1209" s="4" t="s">
        <v>361</v>
      </c>
    </row>
    <row r="1210" spans="1:8" ht="15.75" customHeight="1" x14ac:dyDescent="0.2">
      <c r="A1210" s="4">
        <v>990</v>
      </c>
      <c r="B1210" s="4" t="str">
        <f t="shared" si="4"/>
        <v>State Policy Network_Center for Law and Policy202250000</v>
      </c>
      <c r="C1210" s="4" t="str">
        <f ca="1">IFERROR(__xludf.DUMMYFUNCTION("ARRAY_CONSTRAIN(ARRAYFORMULA(SINGLE(TEXTJOIN(""_"",TRUE,D1210,G1210))), 1, 1)"),"State Policy Network_2022")</f>
        <v>State Policy Network_2022</v>
      </c>
      <c r="D1210" s="4" t="s">
        <v>46</v>
      </c>
      <c r="E1210" s="8" t="s">
        <v>258</v>
      </c>
      <c r="F1210" s="6">
        <v>50000</v>
      </c>
      <c r="G1210" s="4">
        <v>2022</v>
      </c>
      <c r="H1210" s="4" t="s">
        <v>361</v>
      </c>
    </row>
    <row r="1211" spans="1:8" ht="15.75" customHeight="1" x14ac:dyDescent="0.2">
      <c r="A1211" s="4">
        <v>990</v>
      </c>
      <c r="B1211" s="4" t="str">
        <f t="shared" si="4"/>
        <v>State Policy Network_Center of the American Experiment2022125000</v>
      </c>
      <c r="C1211" s="4" t="str">
        <f ca="1">IFERROR(__xludf.DUMMYFUNCTION("ARRAY_CONSTRAIN(ARRAYFORMULA(SINGLE(TEXTJOIN(""_"",TRUE,D1211,G1211))), 1, 1)"),"State Policy Network_2022")</f>
        <v>State Policy Network_2022</v>
      </c>
      <c r="D1211" s="4" t="s">
        <v>46</v>
      </c>
      <c r="E1211" s="8" t="s">
        <v>259</v>
      </c>
      <c r="F1211" s="6">
        <v>125000</v>
      </c>
      <c r="G1211" s="4">
        <v>2022</v>
      </c>
      <c r="H1211" s="4" t="s">
        <v>361</v>
      </c>
    </row>
    <row r="1212" spans="1:8" ht="15.75" customHeight="1" x14ac:dyDescent="0.2">
      <c r="A1212" s="4">
        <v>990</v>
      </c>
      <c r="B1212" s="4" t="str">
        <f t="shared" si="4"/>
        <v>State Policy Network_Commonwealth Foundation for Public Policy Alternatives2022100000</v>
      </c>
      <c r="C1212" s="4" t="str">
        <f ca="1">IFERROR(__xludf.DUMMYFUNCTION("ARRAY_CONSTRAIN(ARRAYFORMULA(SINGLE(TEXTJOIN(""_"",TRUE,D1212,G1212))), 1, 1)"),"State Policy Network_2022")</f>
        <v>State Policy Network_2022</v>
      </c>
      <c r="D1212" s="4" t="s">
        <v>46</v>
      </c>
      <c r="E1212" s="4" t="s">
        <v>262</v>
      </c>
      <c r="F1212" s="6">
        <v>100000</v>
      </c>
      <c r="G1212" s="4">
        <v>2022</v>
      </c>
      <c r="H1212" s="4" t="s">
        <v>361</v>
      </c>
    </row>
    <row r="1213" spans="1:8" ht="15.75" customHeight="1" x14ac:dyDescent="0.2">
      <c r="A1213" s="4">
        <v>990</v>
      </c>
      <c r="B1213" s="4" t="str">
        <f t="shared" si="4"/>
        <v>State Policy Network_Empire Center for Public Policy2022140000</v>
      </c>
      <c r="C1213" s="4" t="str">
        <f ca="1">IFERROR(__xludf.DUMMYFUNCTION("ARRAY_CONSTRAIN(ARRAYFORMULA(SINGLE(TEXTJOIN(""_"",TRUE,D1213,G1213))), 1, 1)"),"State Policy Network_2022")</f>
        <v>State Policy Network_2022</v>
      </c>
      <c r="D1213" s="4" t="s">
        <v>46</v>
      </c>
      <c r="E1213" s="8" t="s">
        <v>264</v>
      </c>
      <c r="F1213" s="6">
        <v>140000</v>
      </c>
      <c r="G1213" s="4">
        <v>2022</v>
      </c>
      <c r="H1213" s="4" t="s">
        <v>361</v>
      </c>
    </row>
    <row r="1214" spans="1:8" ht="15.75" customHeight="1" x14ac:dyDescent="0.2">
      <c r="A1214" s="4">
        <v>990</v>
      </c>
      <c r="B1214" s="4" t="str">
        <f t="shared" si="4"/>
        <v>State Policy Network_Empower Mississippi Foundation2022130000</v>
      </c>
      <c r="C1214" s="4" t="str">
        <f ca="1">IFERROR(__xludf.DUMMYFUNCTION("ARRAY_CONSTRAIN(ARRAYFORMULA(SINGLE(TEXTJOIN(""_"",TRUE,D1214,G1214))), 1, 1)"),"State Policy Network_2022")</f>
        <v>State Policy Network_2022</v>
      </c>
      <c r="D1214" s="4" t="s">
        <v>46</v>
      </c>
      <c r="E1214" s="8" t="s">
        <v>265</v>
      </c>
      <c r="F1214" s="6">
        <v>130000</v>
      </c>
      <c r="G1214" s="4">
        <v>2022</v>
      </c>
      <c r="H1214" s="4" t="s">
        <v>361</v>
      </c>
    </row>
    <row r="1215" spans="1:8" ht="15.75" customHeight="1" x14ac:dyDescent="0.2">
      <c r="A1215" s="4">
        <v>990</v>
      </c>
      <c r="B1215" s="4" t="str">
        <f t="shared" si="4"/>
        <v>State Policy Network_Foundation for Government Accountability2022195000</v>
      </c>
      <c r="C1215" s="4" t="str">
        <f ca="1">IFERROR(__xludf.DUMMYFUNCTION("ARRAY_CONSTRAIN(ARRAYFORMULA(SINGLE(TEXTJOIN(""_"",TRUE,D1215,G1215))), 1, 1)"),"State Policy Network_2022")</f>
        <v>State Policy Network_2022</v>
      </c>
      <c r="D1215" s="4" t="s">
        <v>46</v>
      </c>
      <c r="E1215" s="8" t="s">
        <v>271</v>
      </c>
      <c r="F1215" s="6">
        <v>195000</v>
      </c>
      <c r="G1215" s="4">
        <v>2022</v>
      </c>
      <c r="H1215" s="4" t="s">
        <v>361</v>
      </c>
    </row>
    <row r="1216" spans="1:8" ht="15.75" customHeight="1" x14ac:dyDescent="0.2">
      <c r="A1216" s="4">
        <v>990</v>
      </c>
      <c r="B1216" s="4" t="str">
        <f t="shared" si="4"/>
        <v>State Policy Network_Evergreen Freedom Foundation2022100000</v>
      </c>
      <c r="C1216" s="4" t="str">
        <f ca="1">IFERROR(__xludf.DUMMYFUNCTION("ARRAY_CONSTRAIN(ARRAYFORMULA(SINGLE(TEXTJOIN(""_"",TRUE,D1216,G1216))), 1, 1)"),"State Policy Network_2022")</f>
        <v>State Policy Network_2022</v>
      </c>
      <c r="D1216" s="4" t="s">
        <v>46</v>
      </c>
      <c r="E1216" s="4" t="s">
        <v>268</v>
      </c>
      <c r="F1216" s="6">
        <v>100000</v>
      </c>
      <c r="G1216" s="4">
        <v>2022</v>
      </c>
      <c r="H1216" s="4" t="s">
        <v>361</v>
      </c>
    </row>
    <row r="1217" spans="1:8" ht="15.75" customHeight="1" x14ac:dyDescent="0.2">
      <c r="A1217" s="4">
        <v>990</v>
      </c>
      <c r="B1217" s="4" t="str">
        <f t="shared" si="4"/>
        <v>State Policy Network_Georgia Center for Opportunity2022311000</v>
      </c>
      <c r="C1217" s="4" t="str">
        <f ca="1">IFERROR(__xludf.DUMMYFUNCTION("ARRAY_CONSTRAIN(ARRAYFORMULA(SINGLE(TEXTJOIN(""_"",TRUE,D1217,G1217))), 1, 1)"),"State Policy Network_2022")</f>
        <v>State Policy Network_2022</v>
      </c>
      <c r="D1217" s="4" t="s">
        <v>46</v>
      </c>
      <c r="E1217" s="8" t="s">
        <v>275</v>
      </c>
      <c r="F1217" s="6">
        <v>311000</v>
      </c>
      <c r="G1217" s="4">
        <v>2022</v>
      </c>
      <c r="H1217" s="4" t="s">
        <v>361</v>
      </c>
    </row>
    <row r="1218" spans="1:8" ht="15.75" customHeight="1" x14ac:dyDescent="0.2">
      <c r="A1218" s="4">
        <v>990</v>
      </c>
      <c r="B1218" s="4" t="str">
        <f t="shared" si="4"/>
        <v>State Policy Network_Georgia Public Policy Foundation2022215000</v>
      </c>
      <c r="C1218" s="4" t="str">
        <f ca="1">IFERROR(__xludf.DUMMYFUNCTION("ARRAY_CONSTRAIN(ARRAYFORMULA(SINGLE(TEXTJOIN(""_"",TRUE,D1218,G1218))), 1, 1)"),"State Policy Network_2022")</f>
        <v>State Policy Network_2022</v>
      </c>
      <c r="D1218" s="4" t="s">
        <v>46</v>
      </c>
      <c r="E1218" s="8" t="s">
        <v>277</v>
      </c>
      <c r="F1218" s="6">
        <v>215000</v>
      </c>
      <c r="G1218" s="4">
        <v>2022</v>
      </c>
      <c r="H1218" s="4" t="s">
        <v>361</v>
      </c>
    </row>
    <row r="1219" spans="1:8" ht="15.75" customHeight="1" x14ac:dyDescent="0.2">
      <c r="A1219" s="4">
        <v>990</v>
      </c>
      <c r="B1219" s="4" t="str">
        <f t="shared" si="4"/>
        <v>State Policy Network_Goldwater Institute for Public Policy202275000</v>
      </c>
      <c r="C1219" s="4" t="str">
        <f ca="1">IFERROR(__xludf.DUMMYFUNCTION("ARRAY_CONSTRAIN(ARRAYFORMULA(SINGLE(TEXTJOIN(""_"",TRUE,D1219,G1219))), 1, 1)"),"State Policy Network_2022")</f>
        <v>State Policy Network_2022</v>
      </c>
      <c r="D1219" s="4" t="s">
        <v>46</v>
      </c>
      <c r="E1219" s="8" t="s">
        <v>278</v>
      </c>
      <c r="F1219" s="6">
        <v>75000</v>
      </c>
      <c r="G1219" s="4">
        <v>2022</v>
      </c>
      <c r="H1219" s="4" t="s">
        <v>361</v>
      </c>
    </row>
    <row r="1220" spans="1:8" ht="15.75" customHeight="1" x14ac:dyDescent="0.2">
      <c r="A1220" s="4">
        <v>990</v>
      </c>
      <c r="B1220" s="4" t="str">
        <f t="shared" si="4"/>
        <v>State Policy Network_Grassroots Institute of Hawaii202255500</v>
      </c>
      <c r="C1220" s="4" t="str">
        <f ca="1">IFERROR(__xludf.DUMMYFUNCTION("ARRAY_CONSTRAIN(ARRAYFORMULA(SINGLE(TEXTJOIN(""_"",TRUE,D1220,G1220))), 1, 1)"),"State Policy Network_2022")</f>
        <v>State Policy Network_2022</v>
      </c>
      <c r="D1220" s="4" t="s">
        <v>46</v>
      </c>
      <c r="E1220" s="8" t="s">
        <v>280</v>
      </c>
      <c r="F1220" s="6">
        <v>55500</v>
      </c>
      <c r="G1220" s="4">
        <v>2022</v>
      </c>
      <c r="H1220" s="4" t="s">
        <v>361</v>
      </c>
    </row>
    <row r="1221" spans="1:8" ht="15.75" customHeight="1" x14ac:dyDescent="0.2">
      <c r="A1221" s="4">
        <v>990</v>
      </c>
      <c r="B1221" s="4" t="str">
        <f t="shared" si="4"/>
        <v>State Policy Network_Greathearts Foundation202237500</v>
      </c>
      <c r="C1221" s="4" t="str">
        <f ca="1">IFERROR(__xludf.DUMMYFUNCTION("ARRAY_CONSTRAIN(ARRAYFORMULA(SINGLE(TEXTJOIN(""_"",TRUE,D1221,G1221))), 1, 1)"),"State Policy Network_2022")</f>
        <v>State Policy Network_2022</v>
      </c>
      <c r="D1221" s="4" t="s">
        <v>46</v>
      </c>
      <c r="E1221" s="8" t="s">
        <v>283</v>
      </c>
      <c r="F1221" s="6">
        <v>37500</v>
      </c>
      <c r="G1221" s="4">
        <v>2022</v>
      </c>
      <c r="H1221" s="4" t="s">
        <v>361</v>
      </c>
    </row>
    <row r="1222" spans="1:8" ht="15.75" customHeight="1" x14ac:dyDescent="0.2">
      <c r="A1222" s="4">
        <v>990</v>
      </c>
      <c r="B1222" s="4" t="str">
        <f t="shared" si="4"/>
        <v>State Policy Network_Hearts of Empowerment Inc202250736</v>
      </c>
      <c r="C1222" s="4" t="str">
        <f ca="1">IFERROR(__xludf.DUMMYFUNCTION("ARRAY_CONSTRAIN(ARRAYFORMULA(SINGLE(TEXTJOIN(""_"",TRUE,D1222,G1222))), 1, 1)"),"State Policy Network_2022")</f>
        <v>State Policy Network_2022</v>
      </c>
      <c r="D1222" s="4" t="s">
        <v>46</v>
      </c>
      <c r="E1222" s="8" t="s">
        <v>284</v>
      </c>
      <c r="F1222" s="6">
        <v>50736</v>
      </c>
      <c r="G1222" s="4">
        <v>2022</v>
      </c>
      <c r="H1222" s="4" t="s">
        <v>361</v>
      </c>
    </row>
    <row r="1223" spans="1:8" ht="15.75" customHeight="1" x14ac:dyDescent="0.2">
      <c r="A1223" s="4">
        <v>990</v>
      </c>
      <c r="B1223" s="4" t="str">
        <f t="shared" si="4"/>
        <v>State Policy Network_Illinois Policy Institute202250000</v>
      </c>
      <c r="C1223" s="4" t="str">
        <f ca="1">IFERROR(__xludf.DUMMYFUNCTION("ARRAY_CONSTRAIN(ARRAYFORMULA(SINGLE(TEXTJOIN(""_"",TRUE,D1223,G1223))), 1, 1)"),"State Policy Network_2022")</f>
        <v>State Policy Network_2022</v>
      </c>
      <c r="D1223" s="4" t="s">
        <v>46</v>
      </c>
      <c r="E1223" s="8" t="s">
        <v>286</v>
      </c>
      <c r="F1223" s="6">
        <v>50000</v>
      </c>
      <c r="G1223" s="4">
        <v>2022</v>
      </c>
      <c r="H1223" s="4" t="s">
        <v>361</v>
      </c>
    </row>
    <row r="1224" spans="1:8" ht="15.75" customHeight="1" x14ac:dyDescent="0.2">
      <c r="A1224" s="4">
        <v>990</v>
      </c>
      <c r="B1224" s="4" t="str">
        <f t="shared" si="4"/>
        <v>State Policy Network_Independence Institute2022152500</v>
      </c>
      <c r="C1224" s="4" t="str">
        <f ca="1">IFERROR(__xludf.DUMMYFUNCTION("ARRAY_CONSTRAIN(ARRAYFORMULA(SINGLE(TEXTJOIN(""_"",TRUE,D1224,G1224))), 1, 1)"),"State Policy Network_2022")</f>
        <v>State Policy Network_2022</v>
      </c>
      <c r="D1224" s="4" t="s">
        <v>46</v>
      </c>
      <c r="E1224" s="8" t="s">
        <v>287</v>
      </c>
      <c r="F1224" s="6">
        <v>152500</v>
      </c>
      <c r="G1224" s="4">
        <v>2022</v>
      </c>
      <c r="H1224" s="4" t="s">
        <v>361</v>
      </c>
    </row>
    <row r="1225" spans="1:8" ht="15.75" customHeight="1" x14ac:dyDescent="0.2">
      <c r="A1225" s="4">
        <v>990</v>
      </c>
      <c r="B1225" s="4" t="str">
        <f t="shared" si="4"/>
        <v>State Policy Network_Inspired Life Inc2022125000</v>
      </c>
      <c r="C1225" s="4" t="str">
        <f ca="1">IFERROR(__xludf.DUMMYFUNCTION("ARRAY_CONSTRAIN(ARRAYFORMULA(SINGLE(TEXTJOIN(""_"",TRUE,D1225,G1225))), 1, 1)"),"State Policy Network_2022")</f>
        <v>State Policy Network_2022</v>
      </c>
      <c r="D1225" s="4" t="s">
        <v>46</v>
      </c>
      <c r="E1225" s="8" t="s">
        <v>288</v>
      </c>
      <c r="F1225" s="6">
        <v>125000</v>
      </c>
      <c r="G1225" s="4">
        <v>2022</v>
      </c>
      <c r="H1225" s="4" t="s">
        <v>361</v>
      </c>
    </row>
    <row r="1226" spans="1:8" ht="15.75" customHeight="1" x14ac:dyDescent="0.2">
      <c r="A1226" s="4">
        <v>990</v>
      </c>
      <c r="B1226" s="4" t="str">
        <f t="shared" si="4"/>
        <v>State Policy Network_Institute for Reforming Government2022267000</v>
      </c>
      <c r="C1226" s="4" t="str">
        <f ca="1">IFERROR(__xludf.DUMMYFUNCTION("ARRAY_CONSTRAIN(ARRAYFORMULA(SINGLE(TEXTJOIN(""_"",TRUE,D1226,G1226))), 1, 1)"),"State Policy Network_2022")</f>
        <v>State Policy Network_2022</v>
      </c>
      <c r="D1226" s="4" t="s">
        <v>46</v>
      </c>
      <c r="E1226" s="8" t="s">
        <v>289</v>
      </c>
      <c r="F1226" s="6">
        <v>267000</v>
      </c>
      <c r="G1226" s="4">
        <v>2022</v>
      </c>
      <c r="H1226" s="4" t="s">
        <v>361</v>
      </c>
    </row>
    <row r="1227" spans="1:8" ht="15.75" customHeight="1" x14ac:dyDescent="0.2">
      <c r="A1227" s="4">
        <v>990</v>
      </c>
      <c r="B1227" s="4" t="str">
        <f t="shared" si="4"/>
        <v>State Policy Network_Iowans for Tax Relief Foundation202222400</v>
      </c>
      <c r="C1227" s="4" t="str">
        <f ca="1">IFERROR(__xludf.DUMMYFUNCTION("ARRAY_CONSTRAIN(ARRAYFORMULA(SINGLE(TEXTJOIN(""_"",TRUE,D1227,G1227))), 1, 1)"),"State Policy Network_2022")</f>
        <v>State Policy Network_2022</v>
      </c>
      <c r="D1227" s="4" t="s">
        <v>46</v>
      </c>
      <c r="E1227" s="8" t="s">
        <v>290</v>
      </c>
      <c r="F1227" s="6">
        <v>22400</v>
      </c>
      <c r="G1227" s="4">
        <v>2022</v>
      </c>
      <c r="H1227" s="4" t="s">
        <v>361</v>
      </c>
    </row>
    <row r="1228" spans="1:8" ht="15.75" customHeight="1" x14ac:dyDescent="0.2">
      <c r="A1228" s="4">
        <v>990</v>
      </c>
      <c r="B1228" s="4" t="str">
        <f t="shared" si="4"/>
        <v>State Policy Network_John Locke Foundation202280000</v>
      </c>
      <c r="C1228" s="4" t="str">
        <f ca="1">IFERROR(__xludf.DUMMYFUNCTION("ARRAY_CONSTRAIN(ARRAYFORMULA(SINGLE(TEXTJOIN(""_"",TRUE,D1228,G1228))), 1, 1)"),"State Policy Network_2022")</f>
        <v>State Policy Network_2022</v>
      </c>
      <c r="D1228" s="4" t="s">
        <v>46</v>
      </c>
      <c r="E1228" s="8" t="s">
        <v>292</v>
      </c>
      <c r="F1228" s="6">
        <v>80000</v>
      </c>
      <c r="G1228" s="4">
        <v>2022</v>
      </c>
      <c r="H1228" s="4" t="s">
        <v>361</v>
      </c>
    </row>
    <row r="1229" spans="1:8" ht="15.75" customHeight="1" x14ac:dyDescent="0.2">
      <c r="A1229" s="4">
        <v>990</v>
      </c>
      <c r="B1229" s="4" t="str">
        <f t="shared" si="4"/>
        <v>State Policy Network_Josiah Bartlett Center for Public Policy202275000</v>
      </c>
      <c r="C1229" s="4" t="str">
        <f ca="1">IFERROR(__xludf.DUMMYFUNCTION("ARRAY_CONSTRAIN(ARRAYFORMULA(SINGLE(TEXTJOIN(""_"",TRUE,D1229,G1229))), 1, 1)"),"State Policy Network_2022")</f>
        <v>State Policy Network_2022</v>
      </c>
      <c r="D1229" s="4" t="s">
        <v>46</v>
      </c>
      <c r="E1229" s="8" t="s">
        <v>294</v>
      </c>
      <c r="F1229" s="6">
        <v>75000</v>
      </c>
      <c r="G1229" s="4">
        <v>2022</v>
      </c>
      <c r="H1229" s="4" t="s">
        <v>361</v>
      </c>
    </row>
    <row r="1230" spans="1:8" ht="15.75" customHeight="1" x14ac:dyDescent="0.2">
      <c r="A1230" s="4">
        <v>990</v>
      </c>
      <c r="B1230" s="4" t="str">
        <f t="shared" si="4"/>
        <v>State Policy Network_Kansas Policy Institute2022132500</v>
      </c>
      <c r="C1230" s="4" t="str">
        <f ca="1">IFERROR(__xludf.DUMMYFUNCTION("ARRAY_CONSTRAIN(ARRAYFORMULA(SINGLE(TEXTJOIN(""_"",TRUE,D1230,G1230))), 1, 1)"),"State Policy Network_2022")</f>
        <v>State Policy Network_2022</v>
      </c>
      <c r="D1230" s="4" t="s">
        <v>46</v>
      </c>
      <c r="E1230" s="8" t="s">
        <v>295</v>
      </c>
      <c r="F1230" s="6">
        <v>132500</v>
      </c>
      <c r="G1230" s="4">
        <v>2022</v>
      </c>
      <c r="H1230" s="4" t="s">
        <v>361</v>
      </c>
    </row>
    <row r="1231" spans="1:8" ht="15.75" customHeight="1" x14ac:dyDescent="0.2">
      <c r="A1231" s="4">
        <v>990</v>
      </c>
      <c r="B1231" s="4" t="str">
        <f t="shared" si="4"/>
        <v>State Policy Network_Libertas Institute2022240000</v>
      </c>
      <c r="C1231" s="4" t="str">
        <f ca="1">IFERROR(__xludf.DUMMYFUNCTION("ARRAY_CONSTRAIN(ARRAYFORMULA(SINGLE(TEXTJOIN(""_"",TRUE,D1231,G1231))), 1, 1)"),"State Policy Network_2022")</f>
        <v>State Policy Network_2022</v>
      </c>
      <c r="D1231" s="4" t="s">
        <v>46</v>
      </c>
      <c r="E1231" s="8" t="s">
        <v>296</v>
      </c>
      <c r="F1231" s="6">
        <v>240000</v>
      </c>
      <c r="G1231" s="4">
        <v>2022</v>
      </c>
      <c r="H1231" s="4" t="s">
        <v>361</v>
      </c>
    </row>
    <row r="1232" spans="1:8" ht="15.75" customHeight="1" x14ac:dyDescent="0.2">
      <c r="A1232" s="4">
        <v>990</v>
      </c>
      <c r="B1232" s="4" t="str">
        <f t="shared" si="4"/>
        <v>State Policy Network_Mackinac Center for Public Policy2022100000</v>
      </c>
      <c r="C1232" s="4" t="str">
        <f ca="1">IFERROR(__xludf.DUMMYFUNCTION("ARRAY_CONSTRAIN(ARRAYFORMULA(SINGLE(TEXTJOIN(""_"",TRUE,D1232,G1232))), 1, 1)"),"State Policy Network_2022")</f>
        <v>State Policy Network_2022</v>
      </c>
      <c r="D1232" s="4" t="s">
        <v>46</v>
      </c>
      <c r="E1232" s="8" t="s">
        <v>303</v>
      </c>
      <c r="F1232" s="6">
        <v>100000</v>
      </c>
      <c r="G1232" s="4">
        <v>2022</v>
      </c>
      <c r="H1232" s="4" t="s">
        <v>361</v>
      </c>
    </row>
    <row r="1233" spans="1:8" ht="15.75" customHeight="1" x14ac:dyDescent="0.2">
      <c r="A1233" s="4">
        <v>990</v>
      </c>
      <c r="B1233" s="4" t="str">
        <f t="shared" si="4"/>
        <v>State Policy Network_Mississippi Center for Public Policy202250000</v>
      </c>
      <c r="C1233" s="4" t="str">
        <f ca="1">IFERROR(__xludf.DUMMYFUNCTION("ARRAY_CONSTRAIN(ARRAYFORMULA(SINGLE(TEXTJOIN(""_"",TRUE,D1233,G1233))), 1, 1)"),"State Policy Network_2022")</f>
        <v>State Policy Network_2022</v>
      </c>
      <c r="D1233" s="4" t="s">
        <v>46</v>
      </c>
      <c r="E1233" s="8" t="s">
        <v>309</v>
      </c>
      <c r="F1233" s="6">
        <v>50000</v>
      </c>
      <c r="G1233" s="4">
        <v>2022</v>
      </c>
      <c r="H1233" s="4" t="s">
        <v>361</v>
      </c>
    </row>
    <row r="1234" spans="1:8" ht="15.75" customHeight="1" x14ac:dyDescent="0.2">
      <c r="A1234" s="4">
        <v>990</v>
      </c>
      <c r="B1234" s="4" t="str">
        <f t="shared" si="4"/>
        <v>State Policy Network_Oklahoma Council of Public Affairs202270000</v>
      </c>
      <c r="C1234" s="4" t="str">
        <f ca="1">IFERROR(__xludf.DUMMYFUNCTION("ARRAY_CONSTRAIN(ARRAYFORMULA(SINGLE(TEXTJOIN(""_"",TRUE,D1234,G1234))), 1, 1)"),"State Policy Network_2022")</f>
        <v>State Policy Network_2022</v>
      </c>
      <c r="D1234" s="4" t="s">
        <v>46</v>
      </c>
      <c r="E1234" s="8" t="s">
        <v>315</v>
      </c>
      <c r="F1234" s="6">
        <v>70000</v>
      </c>
      <c r="G1234" s="4">
        <v>2022</v>
      </c>
      <c r="H1234" s="4" t="s">
        <v>361</v>
      </c>
    </row>
    <row r="1235" spans="1:8" ht="15.75" customHeight="1" x14ac:dyDescent="0.2">
      <c r="A1235" s="4">
        <v>990</v>
      </c>
      <c r="B1235" s="4" t="str">
        <f t="shared" si="4"/>
        <v>State Policy Network_Opportunity Arkansas202223000</v>
      </c>
      <c r="C1235" s="4" t="str">
        <f ca="1">IFERROR(__xludf.DUMMYFUNCTION("ARRAY_CONSTRAIN(ARRAYFORMULA(SINGLE(TEXTJOIN(""_"",TRUE,D1235,G1235))), 1, 1)"),"State Policy Network_2022")</f>
        <v>State Policy Network_2022</v>
      </c>
      <c r="D1235" s="4" t="s">
        <v>46</v>
      </c>
      <c r="E1235" s="8" t="s">
        <v>318</v>
      </c>
      <c r="F1235" s="6">
        <v>23000</v>
      </c>
      <c r="G1235" s="4">
        <v>2022</v>
      </c>
      <c r="H1235" s="4" t="s">
        <v>361</v>
      </c>
    </row>
    <row r="1236" spans="1:8" ht="15.75" customHeight="1" x14ac:dyDescent="0.2">
      <c r="A1236" s="4">
        <v>990</v>
      </c>
      <c r="B1236" s="4" t="str">
        <f t="shared" si="4"/>
        <v>State Policy Network_Palmetto Promise Institute202210000</v>
      </c>
      <c r="C1236" s="4" t="str">
        <f ca="1">IFERROR(__xludf.DUMMYFUNCTION("ARRAY_CONSTRAIN(ARRAYFORMULA(SINGLE(TEXTJOIN(""_"",TRUE,D1236,G1236))), 1, 1)"),"State Policy Network_2022")</f>
        <v>State Policy Network_2022</v>
      </c>
      <c r="D1236" s="4" t="s">
        <v>46</v>
      </c>
      <c r="E1236" s="8" t="s">
        <v>322</v>
      </c>
      <c r="F1236" s="6">
        <v>10000</v>
      </c>
      <c r="G1236" s="4">
        <v>2022</v>
      </c>
      <c r="H1236" s="4" t="s">
        <v>361</v>
      </c>
    </row>
    <row r="1237" spans="1:8" ht="15.75" customHeight="1" x14ac:dyDescent="0.2">
      <c r="A1237" s="4">
        <v>990</v>
      </c>
      <c r="B1237" s="4" t="str">
        <f t="shared" si="4"/>
        <v>State Policy Network_Pelican Institute for Public Policy2022350000</v>
      </c>
      <c r="C1237" s="4" t="str">
        <f ca="1">IFERROR(__xludf.DUMMYFUNCTION("ARRAY_CONSTRAIN(ARRAYFORMULA(SINGLE(TEXTJOIN(""_"",TRUE,D1237,G1237))), 1, 1)"),"State Policy Network_2022")</f>
        <v>State Policy Network_2022</v>
      </c>
      <c r="D1237" s="4" t="s">
        <v>46</v>
      </c>
      <c r="E1237" s="8" t="s">
        <v>324</v>
      </c>
      <c r="F1237" s="6">
        <v>350000</v>
      </c>
      <c r="G1237" s="4">
        <v>2022</v>
      </c>
      <c r="H1237" s="4" t="s">
        <v>361</v>
      </c>
    </row>
    <row r="1238" spans="1:8" ht="15.75" customHeight="1" x14ac:dyDescent="0.2">
      <c r="A1238" s="4">
        <v>990</v>
      </c>
      <c r="B1238" s="4" t="str">
        <f t="shared" si="4"/>
        <v>State Policy Network_People United for Privacy Foundation2022255000</v>
      </c>
      <c r="C1238" s="4" t="str">
        <f ca="1">IFERROR(__xludf.DUMMYFUNCTION("ARRAY_CONSTRAIN(ARRAYFORMULA(SINGLE(TEXTJOIN(""_"",TRUE,D1238,G1238))), 1, 1)"),"State Policy Network_2022")</f>
        <v>State Policy Network_2022</v>
      </c>
      <c r="D1238" s="4" t="s">
        <v>46</v>
      </c>
      <c r="E1238" s="8" t="s">
        <v>90</v>
      </c>
      <c r="F1238" s="6">
        <v>255000</v>
      </c>
      <c r="G1238" s="4">
        <v>2022</v>
      </c>
      <c r="H1238" s="4" t="s">
        <v>361</v>
      </c>
    </row>
    <row r="1239" spans="1:8" ht="15.75" customHeight="1" x14ac:dyDescent="0.2">
      <c r="A1239" s="4">
        <v>990</v>
      </c>
      <c r="B1239" s="4" t="str">
        <f t="shared" si="4"/>
        <v>State Policy Network_Pioneer Institute for Public Policy Research2022230000</v>
      </c>
      <c r="C1239" s="4" t="str">
        <f ca="1">IFERROR(__xludf.DUMMYFUNCTION("ARRAY_CONSTRAIN(ARRAYFORMULA(SINGLE(TEXTJOIN(""_"",TRUE,D1239,G1239))), 1, 1)"),"State Policy Network_2022")</f>
        <v>State Policy Network_2022</v>
      </c>
      <c r="D1239" s="4" t="s">
        <v>46</v>
      </c>
      <c r="E1239" s="8" t="s">
        <v>325</v>
      </c>
      <c r="F1239" s="6">
        <v>230000</v>
      </c>
      <c r="G1239" s="4">
        <v>2022</v>
      </c>
      <c r="H1239" s="4" t="s">
        <v>361</v>
      </c>
    </row>
    <row r="1240" spans="1:8" ht="15.75" customHeight="1" x14ac:dyDescent="0.2">
      <c r="A1240" s="4">
        <v>990</v>
      </c>
      <c r="B1240" s="4" t="str">
        <f t="shared" si="4"/>
        <v>State Policy Network_Platte Institute for Economic Research2022165000</v>
      </c>
      <c r="C1240" s="4" t="str">
        <f ca="1">IFERROR(__xludf.DUMMYFUNCTION("ARRAY_CONSTRAIN(ARRAYFORMULA(SINGLE(TEXTJOIN(""_"",TRUE,D1240,G1240))), 1, 1)"),"State Policy Network_2022")</f>
        <v>State Policy Network_2022</v>
      </c>
      <c r="D1240" s="4" t="s">
        <v>46</v>
      </c>
      <c r="E1240" s="8" t="s">
        <v>326</v>
      </c>
      <c r="F1240" s="6">
        <v>165000</v>
      </c>
      <c r="G1240" s="4">
        <v>2022</v>
      </c>
      <c r="H1240" s="4" t="s">
        <v>361</v>
      </c>
    </row>
    <row r="1241" spans="1:8" ht="15.75" customHeight="1" x14ac:dyDescent="0.2">
      <c r="A1241" s="4">
        <v>990</v>
      </c>
      <c r="B1241" s="4" t="str">
        <f t="shared" si="4"/>
        <v>State Policy Network_Reschool202250000</v>
      </c>
      <c r="C1241" s="4" t="str">
        <f ca="1">IFERROR(__xludf.DUMMYFUNCTION("ARRAY_CONSTRAIN(ARRAYFORMULA(SINGLE(TEXTJOIN(""_"",TRUE,D1241,G1241))), 1, 1)"),"State Policy Network_2022")</f>
        <v>State Policy Network_2022</v>
      </c>
      <c r="D1241" s="4" t="s">
        <v>46</v>
      </c>
      <c r="E1241" s="8" t="s">
        <v>329</v>
      </c>
      <c r="F1241" s="6">
        <v>50000</v>
      </c>
      <c r="G1241" s="4">
        <v>2022</v>
      </c>
      <c r="H1241" s="4" t="s">
        <v>361</v>
      </c>
    </row>
    <row r="1242" spans="1:8" ht="15.75" customHeight="1" x14ac:dyDescent="0.2">
      <c r="A1242" s="4">
        <v>990</v>
      </c>
      <c r="B1242" s="4" t="str">
        <f t="shared" si="4"/>
        <v>State Policy Network_South Carolina Policy Council2022313000</v>
      </c>
      <c r="C1242" s="4" t="str">
        <f ca="1">IFERROR(__xludf.DUMMYFUNCTION("ARRAY_CONSTRAIN(ARRAYFORMULA(SINGLE(TEXTJOIN(""_"",TRUE,D1242,G1242))), 1, 1)"),"State Policy Network_2022")</f>
        <v>State Policy Network_2022</v>
      </c>
      <c r="D1242" s="4" t="s">
        <v>46</v>
      </c>
      <c r="E1242" s="8" t="s">
        <v>334</v>
      </c>
      <c r="F1242" s="6">
        <v>313000</v>
      </c>
      <c r="G1242" s="4">
        <v>2022</v>
      </c>
      <c r="H1242" s="4" t="s">
        <v>361</v>
      </c>
    </row>
    <row r="1243" spans="1:8" ht="15.75" customHeight="1" x14ac:dyDescent="0.2">
      <c r="A1243" s="4">
        <v>990</v>
      </c>
      <c r="B1243" s="4" t="str">
        <f t="shared" si="4"/>
        <v>State Policy Network_Texas Public Policy Foundation2022135000</v>
      </c>
      <c r="C1243" s="4" t="str">
        <f ca="1">IFERROR(__xludf.DUMMYFUNCTION("ARRAY_CONSTRAIN(ARRAYFORMULA(SINGLE(TEXTJOIN(""_"",TRUE,D1243,G1243))), 1, 1)"),"State Policy Network_2022")</f>
        <v>State Policy Network_2022</v>
      </c>
      <c r="D1243" s="4" t="s">
        <v>46</v>
      </c>
      <c r="E1243" s="8" t="s">
        <v>342</v>
      </c>
      <c r="F1243" s="6">
        <v>135000</v>
      </c>
      <c r="G1243" s="4">
        <v>2022</v>
      </c>
      <c r="H1243" s="4" t="s">
        <v>361</v>
      </c>
    </row>
    <row r="1244" spans="1:8" ht="15.75" customHeight="1" x14ac:dyDescent="0.2">
      <c r="A1244" s="4">
        <v>990</v>
      </c>
      <c r="B1244" s="4" t="str">
        <f t="shared" si="4"/>
        <v>State Policy Network_Buckeye Institute for Public Policy Solutions2022210000</v>
      </c>
      <c r="C1244" s="4" t="str">
        <f ca="1">IFERROR(__xludf.DUMMYFUNCTION("ARRAY_CONSTRAIN(ARRAYFORMULA(SINGLE(TEXTJOIN(""_"",TRUE,D1244,G1244))), 1, 1)"),"State Policy Network_2022")</f>
        <v>State Policy Network_2022</v>
      </c>
      <c r="D1244" s="4" t="s">
        <v>46</v>
      </c>
      <c r="E1244" s="4" t="s">
        <v>252</v>
      </c>
      <c r="F1244" s="6">
        <v>210000</v>
      </c>
      <c r="G1244" s="4">
        <v>2022</v>
      </c>
      <c r="H1244" s="4" t="s">
        <v>361</v>
      </c>
    </row>
    <row r="1245" spans="1:8" ht="15.75" customHeight="1" x14ac:dyDescent="0.2">
      <c r="A1245" s="4">
        <v>990</v>
      </c>
      <c r="B1245" s="4" t="str">
        <f t="shared" si="4"/>
        <v>State Policy Network_James Madison Institute202272000</v>
      </c>
      <c r="C1245" s="4" t="str">
        <f ca="1">IFERROR(__xludf.DUMMYFUNCTION("ARRAY_CONSTRAIN(ARRAYFORMULA(SINGLE(TEXTJOIN(""_"",TRUE,D1245,G1245))), 1, 1)"),"State Policy Network_2022")</f>
        <v>State Policy Network_2022</v>
      </c>
      <c r="D1245" s="4" t="s">
        <v>46</v>
      </c>
      <c r="E1245" s="4" t="s">
        <v>291</v>
      </c>
      <c r="F1245" s="6">
        <v>72000</v>
      </c>
      <c r="G1245" s="4">
        <v>2022</v>
      </c>
      <c r="H1245" s="4" t="s">
        <v>361</v>
      </c>
    </row>
    <row r="1246" spans="1:8" ht="15.75" customHeight="1" x14ac:dyDescent="0.2">
      <c r="A1246" s="4">
        <v>990</v>
      </c>
      <c r="B1246" s="4" t="str">
        <f t="shared" si="4"/>
        <v>State Policy Network_Show-Me Institute202250000</v>
      </c>
      <c r="C1246" s="4" t="str">
        <f ca="1">IFERROR(__xludf.DUMMYFUNCTION("ARRAY_CONSTRAIN(ARRAYFORMULA(SINGLE(TEXTJOIN(""_"",TRUE,D1246,G1246))), 1, 1)"),"State Policy Network_2022")</f>
        <v>State Policy Network_2022</v>
      </c>
      <c r="D1246" s="4" t="s">
        <v>46</v>
      </c>
      <c r="E1246" s="4" t="s">
        <v>332</v>
      </c>
      <c r="F1246" s="6">
        <v>50000</v>
      </c>
      <c r="G1246" s="4">
        <v>2022</v>
      </c>
      <c r="H1246" s="4" t="s">
        <v>361</v>
      </c>
    </row>
    <row r="1247" spans="1:8" ht="15.75" customHeight="1" x14ac:dyDescent="0.2">
      <c r="A1247" s="4">
        <v>990</v>
      </c>
      <c r="B1247" s="4" t="str">
        <f t="shared" si="4"/>
        <v>State Policy Network_Thomas Jefferson Institute202235000</v>
      </c>
      <c r="C1247" s="4" t="str">
        <f ca="1">IFERROR(__xludf.DUMMYFUNCTION("ARRAY_CONSTRAIN(ARRAYFORMULA(SINGLE(TEXTJOIN(""_"",TRUE,D1247,G1247))), 1, 1)"),"State Policy Network_2022")</f>
        <v>State Policy Network_2022</v>
      </c>
      <c r="D1247" s="4" t="s">
        <v>46</v>
      </c>
      <c r="E1247" s="4" t="s">
        <v>344</v>
      </c>
      <c r="F1247" s="6">
        <v>35000</v>
      </c>
      <c r="G1247" s="4">
        <v>2022</v>
      </c>
      <c r="H1247" s="4" t="s">
        <v>361</v>
      </c>
    </row>
    <row r="1248" spans="1:8" ht="15.75" customHeight="1" x14ac:dyDescent="0.2">
      <c r="A1248" s="4">
        <v>990</v>
      </c>
      <c r="B1248" s="4" t="str">
        <f t="shared" si="4"/>
        <v>State Policy Network_Wisconsin Institute for Law &amp; Liberty202250000</v>
      </c>
      <c r="C1248" s="4" t="str">
        <f ca="1">IFERROR(__xludf.DUMMYFUNCTION("ARRAY_CONSTRAIN(ARRAYFORMULA(SINGLE(TEXTJOIN(""_"",TRUE,D1248,G1248))), 1, 1)"),"State Policy Network_2022")</f>
        <v>State Policy Network_2022</v>
      </c>
      <c r="D1248" s="4" t="s">
        <v>46</v>
      </c>
      <c r="E1248" s="8" t="s">
        <v>350</v>
      </c>
      <c r="F1248" s="6">
        <v>50000</v>
      </c>
      <c r="G1248" s="4">
        <v>2022</v>
      </c>
      <c r="H1248" s="4" t="s">
        <v>361</v>
      </c>
    </row>
    <row r="1249" spans="1:8" ht="15.75" customHeight="1" x14ac:dyDescent="0.2">
      <c r="A1249" s="4">
        <v>990</v>
      </c>
      <c r="B1249" s="4" t="str">
        <f t="shared" si="4"/>
        <v>State Policy Network_Yankee Institute for Public Policy2022100000</v>
      </c>
      <c r="C1249" s="4" t="str">
        <f ca="1">IFERROR(__xludf.DUMMYFUNCTION("ARRAY_CONSTRAIN(ARRAYFORMULA(SINGLE(TEXTJOIN(""_"",TRUE,D1249,G1249))), 1, 1)"),"State Policy Network_2022")</f>
        <v>State Policy Network_2022</v>
      </c>
      <c r="D1249" s="4" t="s">
        <v>46</v>
      </c>
      <c r="E1249" s="8" t="s">
        <v>354</v>
      </c>
      <c r="F1249" s="6">
        <v>100000</v>
      </c>
      <c r="G1249" s="4">
        <v>2022</v>
      </c>
      <c r="H1249" s="4" t="s">
        <v>361</v>
      </c>
    </row>
    <row r="1250" spans="1:8" ht="15.75" customHeight="1" x14ac:dyDescent="0.2">
      <c r="A1250" s="4">
        <v>990</v>
      </c>
      <c r="B1250" s="4" t="str">
        <f t="shared" si="4"/>
        <v>State Policy Network_Georgia Center for Opportunity2021250000</v>
      </c>
      <c r="C1250" s="4" t="str">
        <f ca="1">IFERROR(__xludf.DUMMYFUNCTION("ARRAY_CONSTRAIN(ARRAYFORMULA(SINGLE(TEXTJOIN(""_"",TRUE,D1250,G1250))), 1, 1)"),"State Policy Network_2021")</f>
        <v>State Policy Network_2021</v>
      </c>
      <c r="D1250" s="4" t="s">
        <v>46</v>
      </c>
      <c r="E1250" s="8" t="s">
        <v>275</v>
      </c>
      <c r="F1250" s="6">
        <v>250000</v>
      </c>
      <c r="G1250" s="4">
        <v>2021</v>
      </c>
      <c r="H1250" s="4" t="s">
        <v>361</v>
      </c>
    </row>
    <row r="1251" spans="1:8" ht="15.75" customHeight="1" x14ac:dyDescent="0.2">
      <c r="A1251" s="4">
        <v>990</v>
      </c>
      <c r="B1251" s="4" t="str">
        <f t="shared" si="4"/>
        <v>State Policy Network_Commonwealth Foundation for Public Policy Alternatives2021150000</v>
      </c>
      <c r="C1251" s="4" t="str">
        <f ca="1">IFERROR(__xludf.DUMMYFUNCTION("ARRAY_CONSTRAIN(ARRAYFORMULA(SINGLE(TEXTJOIN(""_"",TRUE,D1251,G1251))), 1, 1)"),"State Policy Network_2021")</f>
        <v>State Policy Network_2021</v>
      </c>
      <c r="D1251" s="4" t="s">
        <v>46</v>
      </c>
      <c r="E1251" s="4" t="s">
        <v>262</v>
      </c>
      <c r="F1251" s="6">
        <v>150000</v>
      </c>
      <c r="G1251" s="4">
        <v>2021</v>
      </c>
      <c r="H1251" s="4" t="s">
        <v>361</v>
      </c>
    </row>
    <row r="1252" spans="1:8" ht="15.75" customHeight="1" x14ac:dyDescent="0.2">
      <c r="A1252" s="4">
        <v>990</v>
      </c>
      <c r="B1252" s="4" t="str">
        <f t="shared" si="4"/>
        <v>State Policy Network_Foundation for Government Accountability2021150000</v>
      </c>
      <c r="C1252" s="4" t="str">
        <f ca="1">IFERROR(__xludf.DUMMYFUNCTION("ARRAY_CONSTRAIN(ARRAYFORMULA(SINGLE(TEXTJOIN(""_"",TRUE,D1252,G1252))), 1, 1)"),"State Policy Network_2021")</f>
        <v>State Policy Network_2021</v>
      </c>
      <c r="D1252" s="4" t="s">
        <v>46</v>
      </c>
      <c r="E1252" s="8" t="s">
        <v>271</v>
      </c>
      <c r="F1252" s="6">
        <v>150000</v>
      </c>
      <c r="G1252" s="4">
        <v>2021</v>
      </c>
      <c r="H1252" s="4" t="s">
        <v>361</v>
      </c>
    </row>
    <row r="1253" spans="1:8" ht="15.75" customHeight="1" x14ac:dyDescent="0.2">
      <c r="A1253" s="4">
        <v>990</v>
      </c>
      <c r="B1253" s="4" t="str">
        <f t="shared" si="4"/>
        <v>State Policy Network_Illinois Policy Institute2021150000</v>
      </c>
      <c r="C1253" s="4" t="str">
        <f ca="1">IFERROR(__xludf.DUMMYFUNCTION("ARRAY_CONSTRAIN(ARRAYFORMULA(SINGLE(TEXTJOIN(""_"",TRUE,D1253,G1253))), 1, 1)"),"State Policy Network_2021")</f>
        <v>State Policy Network_2021</v>
      </c>
      <c r="D1253" s="4" t="s">
        <v>46</v>
      </c>
      <c r="E1253" s="8" t="s">
        <v>286</v>
      </c>
      <c r="F1253" s="6">
        <v>150000</v>
      </c>
      <c r="G1253" s="4">
        <v>2021</v>
      </c>
      <c r="H1253" s="4" t="s">
        <v>361</v>
      </c>
    </row>
    <row r="1254" spans="1:8" ht="15.75" customHeight="1" x14ac:dyDescent="0.2">
      <c r="A1254" s="4">
        <v>990</v>
      </c>
      <c r="B1254" s="4" t="str">
        <f t="shared" si="4"/>
        <v>State Policy Network_Institute for Reforming Government2021150000</v>
      </c>
      <c r="C1254" s="4" t="str">
        <f ca="1">IFERROR(__xludf.DUMMYFUNCTION("ARRAY_CONSTRAIN(ARRAYFORMULA(SINGLE(TEXTJOIN(""_"",TRUE,D1254,G1254))), 1, 1)"),"State Policy Network_2021")</f>
        <v>State Policy Network_2021</v>
      </c>
      <c r="D1254" s="4" t="s">
        <v>46</v>
      </c>
      <c r="E1254" s="8" t="s">
        <v>289</v>
      </c>
      <c r="F1254" s="6">
        <v>150000</v>
      </c>
      <c r="G1254" s="4">
        <v>2021</v>
      </c>
      <c r="H1254" s="4" t="s">
        <v>361</v>
      </c>
    </row>
    <row r="1255" spans="1:8" ht="15.75" customHeight="1" x14ac:dyDescent="0.2">
      <c r="A1255" s="4">
        <v>990</v>
      </c>
      <c r="B1255" s="4" t="str">
        <f t="shared" si="4"/>
        <v>State Policy Network_John Locke Foundation2021150000</v>
      </c>
      <c r="C1255" s="4" t="str">
        <f ca="1">IFERROR(__xludf.DUMMYFUNCTION("ARRAY_CONSTRAIN(ARRAYFORMULA(SINGLE(TEXTJOIN(""_"",TRUE,D1255,G1255))), 1, 1)"),"State Policy Network_2021")</f>
        <v>State Policy Network_2021</v>
      </c>
      <c r="D1255" s="4" t="s">
        <v>46</v>
      </c>
      <c r="E1255" s="8" t="s">
        <v>292</v>
      </c>
      <c r="F1255" s="6">
        <v>150000</v>
      </c>
      <c r="G1255" s="4">
        <v>2021</v>
      </c>
      <c r="H1255" s="4" t="s">
        <v>361</v>
      </c>
    </row>
    <row r="1256" spans="1:8" ht="15.75" customHeight="1" x14ac:dyDescent="0.2">
      <c r="A1256" s="4">
        <v>990</v>
      </c>
      <c r="B1256" s="4" t="str">
        <f t="shared" si="4"/>
        <v>State Policy Network_Mackinac Center for Public Policy2021150000</v>
      </c>
      <c r="C1256" s="4" t="str">
        <f ca="1">IFERROR(__xludf.DUMMYFUNCTION("ARRAY_CONSTRAIN(ARRAYFORMULA(SINGLE(TEXTJOIN(""_"",TRUE,D1256,G1256))), 1, 1)"),"State Policy Network_2021")</f>
        <v>State Policy Network_2021</v>
      </c>
      <c r="D1256" s="4" t="s">
        <v>46</v>
      </c>
      <c r="E1256" s="8" t="s">
        <v>303</v>
      </c>
      <c r="F1256" s="6">
        <v>150000</v>
      </c>
      <c r="G1256" s="4">
        <v>2021</v>
      </c>
      <c r="H1256" s="4" t="s">
        <v>361</v>
      </c>
    </row>
    <row r="1257" spans="1:8" ht="15.75" customHeight="1" x14ac:dyDescent="0.2">
      <c r="A1257" s="4">
        <v>990</v>
      </c>
      <c r="B1257" s="4" t="str">
        <f t="shared" si="4"/>
        <v>State Policy Network_Oklahoma Council of Public Affairs2021150000</v>
      </c>
      <c r="C1257" s="4" t="str">
        <f ca="1">IFERROR(__xludf.DUMMYFUNCTION("ARRAY_CONSTRAIN(ARRAYFORMULA(SINGLE(TEXTJOIN(""_"",TRUE,D1257,G1257))), 1, 1)"),"State Policy Network_2021")</f>
        <v>State Policy Network_2021</v>
      </c>
      <c r="D1257" s="4" t="s">
        <v>46</v>
      </c>
      <c r="E1257" s="8" t="s">
        <v>315</v>
      </c>
      <c r="F1257" s="6">
        <v>150000</v>
      </c>
      <c r="G1257" s="4">
        <v>2021</v>
      </c>
      <c r="H1257" s="4" t="s">
        <v>361</v>
      </c>
    </row>
    <row r="1258" spans="1:8" ht="15.75" customHeight="1" x14ac:dyDescent="0.2">
      <c r="A1258" s="4">
        <v>990</v>
      </c>
      <c r="B1258" s="4" t="str">
        <f t="shared" si="4"/>
        <v>State Policy Network_People United for Privacy Foundation2021150000</v>
      </c>
      <c r="C1258" s="4" t="str">
        <f ca="1">IFERROR(__xludf.DUMMYFUNCTION("ARRAY_CONSTRAIN(ARRAYFORMULA(SINGLE(TEXTJOIN(""_"",TRUE,D1258,G1258))), 1, 1)"),"State Policy Network_2021")</f>
        <v>State Policy Network_2021</v>
      </c>
      <c r="D1258" s="4" t="s">
        <v>46</v>
      </c>
      <c r="E1258" s="8" t="s">
        <v>90</v>
      </c>
      <c r="F1258" s="6">
        <v>150000</v>
      </c>
      <c r="G1258" s="4">
        <v>2021</v>
      </c>
      <c r="H1258" s="4" t="s">
        <v>361</v>
      </c>
    </row>
    <row r="1259" spans="1:8" ht="15.75" customHeight="1" x14ac:dyDescent="0.2">
      <c r="A1259" s="4">
        <v>990</v>
      </c>
      <c r="B1259" s="4" t="str">
        <f t="shared" si="4"/>
        <v>State Policy Network_Buckeye Institute for Public Policy Solutions2021150000</v>
      </c>
      <c r="C1259" s="4" t="str">
        <f ca="1">IFERROR(__xludf.DUMMYFUNCTION("ARRAY_CONSTRAIN(ARRAYFORMULA(SINGLE(TEXTJOIN(""_"",TRUE,D1259,G1259))), 1, 1)"),"State Policy Network_2021")</f>
        <v>State Policy Network_2021</v>
      </c>
      <c r="D1259" s="4" t="s">
        <v>46</v>
      </c>
      <c r="E1259" s="4" t="s">
        <v>252</v>
      </c>
      <c r="F1259" s="6">
        <v>150000</v>
      </c>
      <c r="G1259" s="4">
        <v>2021</v>
      </c>
      <c r="H1259" s="4" t="s">
        <v>361</v>
      </c>
    </row>
    <row r="1260" spans="1:8" ht="15.75" customHeight="1" x14ac:dyDescent="0.2">
      <c r="A1260" s="4">
        <v>990</v>
      </c>
      <c r="B1260" s="4" t="str">
        <f t="shared" si="4"/>
        <v>State Policy Network_Independence Institute2021147500</v>
      </c>
      <c r="C1260" s="4" t="str">
        <f ca="1">IFERROR(__xludf.DUMMYFUNCTION("ARRAY_CONSTRAIN(ARRAYFORMULA(SINGLE(TEXTJOIN(""_"",TRUE,D1260,G1260))), 1, 1)"),"State Policy Network_2021")</f>
        <v>State Policy Network_2021</v>
      </c>
      <c r="D1260" s="4" t="s">
        <v>46</v>
      </c>
      <c r="E1260" s="8" t="s">
        <v>287</v>
      </c>
      <c r="F1260" s="6">
        <v>147500</v>
      </c>
      <c r="G1260" s="4">
        <v>2021</v>
      </c>
      <c r="H1260" s="4" t="s">
        <v>361</v>
      </c>
    </row>
    <row r="1261" spans="1:8" ht="15.75" customHeight="1" x14ac:dyDescent="0.2">
      <c r="A1261" s="4">
        <v>990</v>
      </c>
      <c r="B1261" s="4" t="str">
        <f t="shared" si="4"/>
        <v>State Policy Network_California Policy Center2021143500</v>
      </c>
      <c r="C1261" s="4" t="str">
        <f ca="1">IFERROR(__xludf.DUMMYFUNCTION("ARRAY_CONSTRAIN(ARRAYFORMULA(SINGLE(TEXTJOIN(""_"",TRUE,D1261,G1261))), 1, 1)"),"State Policy Network_2021")</f>
        <v>State Policy Network_2021</v>
      </c>
      <c r="D1261" s="4" t="s">
        <v>46</v>
      </c>
      <c r="E1261" s="8" t="s">
        <v>254</v>
      </c>
      <c r="F1261" s="6">
        <v>143500</v>
      </c>
      <c r="G1261" s="4">
        <v>2021</v>
      </c>
      <c r="H1261" s="4" t="s">
        <v>361</v>
      </c>
    </row>
    <row r="1262" spans="1:8" ht="15.75" customHeight="1" x14ac:dyDescent="0.2">
      <c r="A1262" s="4">
        <v>990</v>
      </c>
      <c r="B1262" s="4" t="str">
        <f t="shared" si="4"/>
        <v>State Policy Network_Pioneer Institute for Public Policy Research2021143000</v>
      </c>
      <c r="C1262" s="4" t="str">
        <f ca="1">IFERROR(__xludf.DUMMYFUNCTION("ARRAY_CONSTRAIN(ARRAYFORMULA(SINGLE(TEXTJOIN(""_"",TRUE,D1262,G1262))), 1, 1)"),"State Policy Network_2021")</f>
        <v>State Policy Network_2021</v>
      </c>
      <c r="D1262" s="4" t="s">
        <v>46</v>
      </c>
      <c r="E1262" s="8" t="s">
        <v>325</v>
      </c>
      <c r="F1262" s="6">
        <v>143000</v>
      </c>
      <c r="G1262" s="4">
        <v>2021</v>
      </c>
      <c r="H1262" s="4" t="s">
        <v>361</v>
      </c>
    </row>
    <row r="1263" spans="1:8" ht="15.75" customHeight="1" x14ac:dyDescent="0.2">
      <c r="A1263" s="4">
        <v>990</v>
      </c>
      <c r="B1263" s="4" t="str">
        <f t="shared" si="4"/>
        <v>State Policy Network_Beacon Center of Tennessee2021134500</v>
      </c>
      <c r="C1263" s="4" t="str">
        <f ca="1">IFERROR(__xludf.DUMMYFUNCTION("ARRAY_CONSTRAIN(ARRAYFORMULA(SINGLE(TEXTJOIN(""_"",TRUE,D1263,G1263))), 1, 1)"),"State Policy Network_2021")</f>
        <v>State Policy Network_2021</v>
      </c>
      <c r="D1263" s="4" t="s">
        <v>46</v>
      </c>
      <c r="E1263" s="8" t="s">
        <v>249</v>
      </c>
      <c r="F1263" s="6">
        <v>134500</v>
      </c>
      <c r="G1263" s="4">
        <v>2021</v>
      </c>
      <c r="H1263" s="4" t="s">
        <v>361</v>
      </c>
    </row>
    <row r="1264" spans="1:8" ht="15.75" customHeight="1" x14ac:dyDescent="0.2">
      <c r="A1264" s="4">
        <v>990</v>
      </c>
      <c r="B1264" s="4" t="str">
        <f t="shared" si="4"/>
        <v>State Policy Network_Beacon Center of Tennessee2021134000</v>
      </c>
      <c r="C1264" s="4" t="str">
        <f ca="1">IFERROR(__xludf.DUMMYFUNCTION("ARRAY_CONSTRAIN(ARRAYFORMULA(SINGLE(TEXTJOIN(""_"",TRUE,D1264,G1264))), 1, 1)"),"State Policy Network_2021")</f>
        <v>State Policy Network_2021</v>
      </c>
      <c r="D1264" s="4" t="s">
        <v>46</v>
      </c>
      <c r="E1264" s="8" t="s">
        <v>249</v>
      </c>
      <c r="F1264" s="6">
        <v>134000</v>
      </c>
      <c r="G1264" s="4">
        <v>2021</v>
      </c>
      <c r="H1264" s="4" t="s">
        <v>361</v>
      </c>
    </row>
    <row r="1265" spans="1:8" ht="15.75" customHeight="1" x14ac:dyDescent="0.2">
      <c r="A1265" s="4">
        <v>990</v>
      </c>
      <c r="B1265" s="4" t="str">
        <f t="shared" si="4"/>
        <v>State Policy Network_Empower Mississippi Foundation2021126250</v>
      </c>
      <c r="C1265" s="4" t="str">
        <f ca="1">IFERROR(__xludf.DUMMYFUNCTION("ARRAY_CONSTRAIN(ARRAYFORMULA(SINGLE(TEXTJOIN(""_"",TRUE,D1265,G1265))), 1, 1)"),"State Policy Network_2021")</f>
        <v>State Policy Network_2021</v>
      </c>
      <c r="D1265" s="4" t="s">
        <v>46</v>
      </c>
      <c r="E1265" s="8" t="s">
        <v>265</v>
      </c>
      <c r="F1265" s="6">
        <v>126250</v>
      </c>
      <c r="G1265" s="4">
        <v>2021</v>
      </c>
      <c r="H1265" s="4" t="s">
        <v>361</v>
      </c>
    </row>
    <row r="1266" spans="1:8" ht="15.75" customHeight="1" x14ac:dyDescent="0.2">
      <c r="A1266" s="4">
        <v>990</v>
      </c>
      <c r="B1266" s="4" t="str">
        <f t="shared" si="4"/>
        <v>State Policy Network_James Madison Institute2021125000</v>
      </c>
      <c r="C1266" s="4" t="str">
        <f ca="1">IFERROR(__xludf.DUMMYFUNCTION("ARRAY_CONSTRAIN(ARRAYFORMULA(SINGLE(TEXTJOIN(""_"",TRUE,D1266,G1266))), 1, 1)"),"State Policy Network_2021")</f>
        <v>State Policy Network_2021</v>
      </c>
      <c r="D1266" s="4" t="s">
        <v>46</v>
      </c>
      <c r="E1266" s="4" t="s">
        <v>291</v>
      </c>
      <c r="F1266" s="6">
        <v>125000</v>
      </c>
      <c r="G1266" s="4">
        <v>2021</v>
      </c>
      <c r="H1266" s="4" t="s">
        <v>361</v>
      </c>
    </row>
    <row r="1267" spans="1:8" ht="15.75" customHeight="1" x14ac:dyDescent="0.2">
      <c r="A1267" s="4">
        <v>990</v>
      </c>
      <c r="B1267" s="4" t="str">
        <f t="shared" si="4"/>
        <v>State Policy Network_Cardinal Institute for West Virginia Policy2021120000</v>
      </c>
      <c r="C1267" s="4" t="str">
        <f ca="1">IFERROR(__xludf.DUMMYFUNCTION("ARRAY_CONSTRAIN(ARRAYFORMULA(SINGLE(TEXTJOIN(""_"",TRUE,D1267,G1267))), 1, 1)"),"State Policy Network_2021")</f>
        <v>State Policy Network_2021</v>
      </c>
      <c r="D1267" s="4" t="s">
        <v>46</v>
      </c>
      <c r="E1267" s="8" t="s">
        <v>255</v>
      </c>
      <c r="F1267" s="6">
        <v>120000</v>
      </c>
      <c r="G1267" s="4">
        <v>2021</v>
      </c>
      <c r="H1267" s="4" t="s">
        <v>361</v>
      </c>
    </row>
    <row r="1268" spans="1:8" ht="15.75" customHeight="1" x14ac:dyDescent="0.2">
      <c r="A1268" s="4">
        <v>990</v>
      </c>
      <c r="B1268" s="4" t="str">
        <f t="shared" si="4"/>
        <v>State Policy Network_Libertas Institute2021120000</v>
      </c>
      <c r="C1268" s="4" t="str">
        <f ca="1">IFERROR(__xludf.DUMMYFUNCTION("ARRAY_CONSTRAIN(ARRAYFORMULA(SINGLE(TEXTJOIN(""_"",TRUE,D1268,G1268))), 1, 1)"),"State Policy Network_2021")</f>
        <v>State Policy Network_2021</v>
      </c>
      <c r="D1268" s="4" t="s">
        <v>46</v>
      </c>
      <c r="E1268" s="8" t="s">
        <v>296</v>
      </c>
      <c r="F1268" s="6">
        <v>120000</v>
      </c>
      <c r="G1268" s="4">
        <v>2021</v>
      </c>
      <c r="H1268" s="4" t="s">
        <v>361</v>
      </c>
    </row>
    <row r="1269" spans="1:8" ht="15.75" customHeight="1" x14ac:dyDescent="0.2">
      <c r="A1269" s="4">
        <v>990</v>
      </c>
      <c r="B1269" s="4" t="str">
        <f t="shared" si="4"/>
        <v>State Policy Network_Georgia Center for Opportunity2021110000</v>
      </c>
      <c r="C1269" s="4" t="str">
        <f ca="1">IFERROR(__xludf.DUMMYFUNCTION("ARRAY_CONSTRAIN(ARRAYFORMULA(SINGLE(TEXTJOIN(""_"",TRUE,D1269,G1269))), 1, 1)"),"State Policy Network_2021")</f>
        <v>State Policy Network_2021</v>
      </c>
      <c r="D1269" s="4" t="s">
        <v>46</v>
      </c>
      <c r="E1269" s="8" t="s">
        <v>275</v>
      </c>
      <c r="F1269" s="6">
        <v>110000</v>
      </c>
      <c r="G1269" s="4">
        <v>2021</v>
      </c>
      <c r="H1269" s="4" t="s">
        <v>361</v>
      </c>
    </row>
    <row r="1270" spans="1:8" ht="15.75" customHeight="1" x14ac:dyDescent="0.2">
      <c r="A1270" s="4">
        <v>990</v>
      </c>
      <c r="B1270" s="4" t="str">
        <f t="shared" si="4"/>
        <v>State Policy Network_Georgia Public Policy Foundation2021107500</v>
      </c>
      <c r="C1270" s="4" t="str">
        <f ca="1">IFERROR(__xludf.DUMMYFUNCTION("ARRAY_CONSTRAIN(ARRAYFORMULA(SINGLE(TEXTJOIN(""_"",TRUE,D1270,G1270))), 1, 1)"),"State Policy Network_2021")</f>
        <v>State Policy Network_2021</v>
      </c>
      <c r="D1270" s="4" t="s">
        <v>46</v>
      </c>
      <c r="E1270" s="8" t="s">
        <v>277</v>
      </c>
      <c r="F1270" s="6">
        <v>107500</v>
      </c>
      <c r="G1270" s="4">
        <v>2021</v>
      </c>
      <c r="H1270" s="4" t="s">
        <v>361</v>
      </c>
    </row>
    <row r="1271" spans="1:8" ht="15.75" customHeight="1" x14ac:dyDescent="0.2">
      <c r="A1271" s="4">
        <v>990</v>
      </c>
      <c r="B1271" s="4" t="str">
        <f t="shared" si="4"/>
        <v>State Policy Network_Cardinal Institute for West Virginia Policy2021100000</v>
      </c>
      <c r="C1271" s="4" t="str">
        <f ca="1">IFERROR(__xludf.DUMMYFUNCTION("ARRAY_CONSTRAIN(ARRAYFORMULA(SINGLE(TEXTJOIN(""_"",TRUE,D1271,G1271))), 1, 1)"),"State Policy Network_2021")</f>
        <v>State Policy Network_2021</v>
      </c>
      <c r="D1271" s="4" t="s">
        <v>46</v>
      </c>
      <c r="E1271" s="8" t="s">
        <v>255</v>
      </c>
      <c r="F1271" s="6">
        <v>100000</v>
      </c>
      <c r="G1271" s="4">
        <v>2021</v>
      </c>
      <c r="H1271" s="4" t="s">
        <v>361</v>
      </c>
    </row>
    <row r="1272" spans="1:8" ht="15.75" customHeight="1" x14ac:dyDescent="0.2">
      <c r="A1272" s="4">
        <v>990</v>
      </c>
      <c r="B1272" s="4" t="str">
        <f t="shared" si="4"/>
        <v>State Policy Network_Goldwater Institute for Public Policy2021100000</v>
      </c>
      <c r="C1272" s="4" t="str">
        <f ca="1">IFERROR(__xludf.DUMMYFUNCTION("ARRAY_CONSTRAIN(ARRAYFORMULA(SINGLE(TEXTJOIN(""_"",TRUE,D1272,G1272))), 1, 1)"),"State Policy Network_2021")</f>
        <v>State Policy Network_2021</v>
      </c>
      <c r="D1272" s="4" t="s">
        <v>46</v>
      </c>
      <c r="E1272" s="8" t="s">
        <v>278</v>
      </c>
      <c r="F1272" s="6">
        <v>100000</v>
      </c>
      <c r="G1272" s="4">
        <v>2021</v>
      </c>
      <c r="H1272" s="4" t="s">
        <v>361</v>
      </c>
    </row>
    <row r="1273" spans="1:8" ht="15.75" customHeight="1" x14ac:dyDescent="0.2">
      <c r="A1273" s="4">
        <v>990</v>
      </c>
      <c r="B1273" s="4" t="str">
        <f t="shared" si="4"/>
        <v>State Policy Network_People United for Privacy Foundation2021100000</v>
      </c>
      <c r="C1273" s="4" t="str">
        <f ca="1">IFERROR(__xludf.DUMMYFUNCTION("ARRAY_CONSTRAIN(ARRAYFORMULA(SINGLE(TEXTJOIN(""_"",TRUE,D1273,G1273))), 1, 1)"),"State Policy Network_2021")</f>
        <v>State Policy Network_2021</v>
      </c>
      <c r="D1273" s="4" t="s">
        <v>46</v>
      </c>
      <c r="E1273" s="8" t="s">
        <v>90</v>
      </c>
      <c r="F1273" s="6">
        <v>100000</v>
      </c>
      <c r="G1273" s="4">
        <v>2021</v>
      </c>
      <c r="H1273" s="4" t="s">
        <v>361</v>
      </c>
    </row>
    <row r="1274" spans="1:8" ht="15.75" customHeight="1" x14ac:dyDescent="0.2">
      <c r="A1274" s="4">
        <v>990</v>
      </c>
      <c r="B1274" s="4" t="str">
        <f t="shared" si="4"/>
        <v>State Policy Network_Platte Institute for Economic Research2021100000</v>
      </c>
      <c r="C1274" s="4" t="str">
        <f ca="1">IFERROR(__xludf.DUMMYFUNCTION("ARRAY_CONSTRAIN(ARRAYFORMULA(SINGLE(TEXTJOIN(""_"",TRUE,D1274,G1274))), 1, 1)"),"State Policy Network_2021")</f>
        <v>State Policy Network_2021</v>
      </c>
      <c r="D1274" s="4" t="s">
        <v>46</v>
      </c>
      <c r="E1274" s="8" t="s">
        <v>326</v>
      </c>
      <c r="F1274" s="6">
        <v>100000</v>
      </c>
      <c r="G1274" s="4">
        <v>2021</v>
      </c>
      <c r="H1274" s="4" t="s">
        <v>361</v>
      </c>
    </row>
    <row r="1275" spans="1:8" ht="15.75" customHeight="1" x14ac:dyDescent="0.2">
      <c r="A1275" s="4">
        <v>990</v>
      </c>
      <c r="B1275" s="4" t="str">
        <f t="shared" si="4"/>
        <v>State Policy Network_Buckeye Institute for Public Policy Solutions2021100000</v>
      </c>
      <c r="C1275" s="4" t="str">
        <f ca="1">IFERROR(__xludf.DUMMYFUNCTION("ARRAY_CONSTRAIN(ARRAYFORMULA(SINGLE(TEXTJOIN(""_"",TRUE,D1275,G1275))), 1, 1)"),"State Policy Network_2021")</f>
        <v>State Policy Network_2021</v>
      </c>
      <c r="D1275" s="4" t="s">
        <v>46</v>
      </c>
      <c r="E1275" s="4" t="s">
        <v>252</v>
      </c>
      <c r="F1275" s="6">
        <v>100000</v>
      </c>
      <c r="G1275" s="4">
        <v>2021</v>
      </c>
      <c r="H1275" s="4" t="s">
        <v>361</v>
      </c>
    </row>
    <row r="1276" spans="1:8" ht="15.75" customHeight="1" x14ac:dyDescent="0.2">
      <c r="A1276" s="4">
        <v>990</v>
      </c>
      <c r="B1276" s="4" t="str">
        <f t="shared" si="4"/>
        <v>State Policy Network_Maine Policy Institute202180000</v>
      </c>
      <c r="C1276" s="4" t="str">
        <f ca="1">IFERROR(__xludf.DUMMYFUNCTION("ARRAY_CONSTRAIN(ARRAYFORMULA(SINGLE(TEXTJOIN(""_"",TRUE,D1276,G1276))), 1, 1)"),"State Policy Network_2021")</f>
        <v>State Policy Network_2021</v>
      </c>
      <c r="D1276" s="4" t="s">
        <v>46</v>
      </c>
      <c r="E1276" s="8" t="s">
        <v>306</v>
      </c>
      <c r="F1276" s="6">
        <v>80000</v>
      </c>
      <c r="G1276" s="4">
        <v>2021</v>
      </c>
      <c r="H1276" s="4" t="s">
        <v>361</v>
      </c>
    </row>
    <row r="1277" spans="1:8" ht="15.75" customHeight="1" x14ac:dyDescent="0.2">
      <c r="A1277" s="4">
        <v>990</v>
      </c>
      <c r="B1277" s="4" t="str">
        <f t="shared" ref="B1277:B1434" si="5">D1277&amp;"_"&amp;E1277&amp;G1277&amp;F1277</f>
        <v>State Policy Network_Alabama Policy Institute202150000</v>
      </c>
      <c r="C1277" s="4" t="str">
        <f ca="1">IFERROR(__xludf.DUMMYFUNCTION("ARRAY_CONSTRAIN(ARRAYFORMULA(SINGLE(TEXTJOIN(""_"",TRUE,D1277,G1277))), 1, 1)"),"State Policy Network_2021")</f>
        <v>State Policy Network_2021</v>
      </c>
      <c r="D1277" s="4" t="s">
        <v>46</v>
      </c>
      <c r="E1277" s="8" t="s">
        <v>235</v>
      </c>
      <c r="F1277" s="6">
        <v>50000</v>
      </c>
      <c r="G1277" s="4">
        <v>2021</v>
      </c>
      <c r="H1277" s="4" t="s">
        <v>361</v>
      </c>
    </row>
    <row r="1278" spans="1:8" ht="15.75" customHeight="1" x14ac:dyDescent="0.2">
      <c r="A1278" s="4">
        <v>990</v>
      </c>
      <c r="B1278" s="4" t="str">
        <f t="shared" si="5"/>
        <v>State Policy Network_Badger Institute202150000</v>
      </c>
      <c r="C1278" s="4" t="str">
        <f ca="1">IFERROR(__xludf.DUMMYFUNCTION("ARRAY_CONSTRAIN(ARRAYFORMULA(SINGLE(TEXTJOIN(""_"",TRUE,D1278,G1278))), 1, 1)"),"State Policy Network_2021")</f>
        <v>State Policy Network_2021</v>
      </c>
      <c r="D1278" s="4" t="s">
        <v>46</v>
      </c>
      <c r="E1278" s="8" t="s">
        <v>247</v>
      </c>
      <c r="F1278" s="6">
        <v>50000</v>
      </c>
      <c r="G1278" s="4">
        <v>2021</v>
      </c>
      <c r="H1278" s="4" t="s">
        <v>361</v>
      </c>
    </row>
    <row r="1279" spans="1:8" ht="15.75" customHeight="1" x14ac:dyDescent="0.2">
      <c r="A1279" s="4">
        <v>990</v>
      </c>
      <c r="B1279" s="4" t="str">
        <f t="shared" si="5"/>
        <v>State Policy Network_Goldwater Institute for Public Policy202150000</v>
      </c>
      <c r="C1279" s="4" t="str">
        <f ca="1">IFERROR(__xludf.DUMMYFUNCTION("ARRAY_CONSTRAIN(ARRAYFORMULA(SINGLE(TEXTJOIN(""_"",TRUE,D1279,G1279))), 1, 1)"),"State Policy Network_2021")</f>
        <v>State Policy Network_2021</v>
      </c>
      <c r="D1279" s="4" t="s">
        <v>46</v>
      </c>
      <c r="E1279" s="8" t="s">
        <v>278</v>
      </c>
      <c r="F1279" s="6">
        <v>50000</v>
      </c>
      <c r="G1279" s="4">
        <v>2021</v>
      </c>
      <c r="H1279" s="4" t="s">
        <v>361</v>
      </c>
    </row>
    <row r="1280" spans="1:8" ht="15.75" customHeight="1" x14ac:dyDescent="0.2">
      <c r="A1280" s="4">
        <v>990</v>
      </c>
      <c r="B1280" s="4" t="str">
        <f t="shared" si="5"/>
        <v>State Policy Network_Institute for Reforming Government202150000</v>
      </c>
      <c r="C1280" s="4" t="str">
        <f ca="1">IFERROR(__xludf.DUMMYFUNCTION("ARRAY_CONSTRAIN(ARRAYFORMULA(SINGLE(TEXTJOIN(""_"",TRUE,D1280,G1280))), 1, 1)"),"State Policy Network_2021")</f>
        <v>State Policy Network_2021</v>
      </c>
      <c r="D1280" s="4" t="s">
        <v>46</v>
      </c>
      <c r="E1280" s="8" t="s">
        <v>289</v>
      </c>
      <c r="F1280" s="6">
        <v>50000</v>
      </c>
      <c r="G1280" s="4">
        <v>2021</v>
      </c>
      <c r="H1280" s="4" t="s">
        <v>361</v>
      </c>
    </row>
    <row r="1281" spans="1:9" ht="15.75" customHeight="1" x14ac:dyDescent="0.2">
      <c r="A1281" s="4">
        <v>990</v>
      </c>
      <c r="B1281" s="4" t="str">
        <f t="shared" si="5"/>
        <v>State Policy Network_Show-Me Institute202150000</v>
      </c>
      <c r="C1281" s="4" t="str">
        <f ca="1">IFERROR(__xludf.DUMMYFUNCTION("ARRAY_CONSTRAIN(ARRAYFORMULA(SINGLE(TEXTJOIN(""_"",TRUE,D1281,G1281))), 1, 1)"),"State Policy Network_2021")</f>
        <v>State Policy Network_2021</v>
      </c>
      <c r="D1281" s="4" t="s">
        <v>46</v>
      </c>
      <c r="E1281" s="4" t="s">
        <v>332</v>
      </c>
      <c r="F1281" s="6">
        <v>50000</v>
      </c>
      <c r="G1281" s="4">
        <v>2021</v>
      </c>
      <c r="H1281" s="4" t="s">
        <v>361</v>
      </c>
    </row>
    <row r="1282" spans="1:9" ht="15.75" customHeight="1" x14ac:dyDescent="0.2">
      <c r="A1282" s="4">
        <v>990</v>
      </c>
      <c r="B1282" s="4" t="str">
        <f t="shared" si="5"/>
        <v>State Policy Network_Wisconsin Institute for Law &amp; Liberty202150000</v>
      </c>
      <c r="C1282" s="4" t="str">
        <f ca="1">IFERROR(__xludf.DUMMYFUNCTION("ARRAY_CONSTRAIN(ARRAYFORMULA(SINGLE(TEXTJOIN(""_"",TRUE,D1282,G1282))), 1, 1)"),"State Policy Network_2021")</f>
        <v>State Policy Network_2021</v>
      </c>
      <c r="D1282" s="4" t="s">
        <v>46</v>
      </c>
      <c r="E1282" s="8" t="s">
        <v>350</v>
      </c>
      <c r="F1282" s="6">
        <v>50000</v>
      </c>
      <c r="G1282" s="4">
        <v>2021</v>
      </c>
      <c r="H1282" s="4" t="s">
        <v>361</v>
      </c>
    </row>
    <row r="1283" spans="1:9" ht="15.75" customHeight="1" x14ac:dyDescent="0.2">
      <c r="A1283" s="4">
        <v>990</v>
      </c>
      <c r="B1283" s="4" t="str">
        <f t="shared" si="5"/>
        <v>State Policy Network_Beacon Center of Tennessee202145000</v>
      </c>
      <c r="C1283" s="4" t="str">
        <f ca="1">IFERROR(__xludf.DUMMYFUNCTION("ARRAY_CONSTRAIN(ARRAYFORMULA(SINGLE(TEXTJOIN(""_"",TRUE,D1283,G1283))), 1, 1)"),"State Policy Network_2021")</f>
        <v>State Policy Network_2021</v>
      </c>
      <c r="D1283" s="4" t="s">
        <v>46</v>
      </c>
      <c r="E1283" s="8" t="s">
        <v>249</v>
      </c>
      <c r="F1283" s="6">
        <v>45000</v>
      </c>
      <c r="G1283" s="4">
        <v>2021</v>
      </c>
      <c r="H1283" s="4" t="s">
        <v>361</v>
      </c>
    </row>
    <row r="1284" spans="1:9" ht="15.75" customHeight="1" x14ac:dyDescent="0.2">
      <c r="A1284" s="4">
        <v>990</v>
      </c>
      <c r="B1284" s="4" t="str">
        <f t="shared" si="5"/>
        <v>State Policy Network_Wisconsin Institute for Law &amp; Liberty202135150</v>
      </c>
      <c r="C1284" s="4" t="str">
        <f ca="1">IFERROR(__xludf.DUMMYFUNCTION("ARRAY_CONSTRAIN(ARRAYFORMULA(SINGLE(TEXTJOIN(""_"",TRUE,D1284,G1284))), 1, 1)"),"State Policy Network_2021")</f>
        <v>State Policy Network_2021</v>
      </c>
      <c r="D1284" s="4" t="s">
        <v>46</v>
      </c>
      <c r="E1284" s="8" t="s">
        <v>350</v>
      </c>
      <c r="F1284" s="6">
        <v>35150</v>
      </c>
      <c r="G1284" s="4">
        <v>2021</v>
      </c>
      <c r="H1284" s="4" t="s">
        <v>361</v>
      </c>
    </row>
    <row r="1285" spans="1:9" ht="15.75" customHeight="1" x14ac:dyDescent="0.2">
      <c r="A1285" s="4">
        <v>990</v>
      </c>
      <c r="B1285" s="4" t="str">
        <f t="shared" si="5"/>
        <v>State Policy Network_Georgia Public Policy Foundation202125000</v>
      </c>
      <c r="C1285" s="4" t="str">
        <f ca="1">IFERROR(__xludf.DUMMYFUNCTION("ARRAY_CONSTRAIN(ARRAYFORMULA(SINGLE(TEXTJOIN(""_"",TRUE,D1285,G1285))), 1, 1)"),"State Policy Network_2021")</f>
        <v>State Policy Network_2021</v>
      </c>
      <c r="D1285" s="4" t="s">
        <v>46</v>
      </c>
      <c r="E1285" s="8" t="s">
        <v>277</v>
      </c>
      <c r="F1285" s="6">
        <v>25000</v>
      </c>
      <c r="G1285" s="4">
        <v>2021</v>
      </c>
      <c r="H1285" s="4" t="s">
        <v>361</v>
      </c>
    </row>
    <row r="1286" spans="1:9" ht="15.75" customHeight="1" x14ac:dyDescent="0.2">
      <c r="A1286" s="4">
        <v>990</v>
      </c>
      <c r="B1286" s="4" t="str">
        <f t="shared" si="5"/>
        <v>State Policy Network_James Madison Institute202125000</v>
      </c>
      <c r="C1286" s="4" t="str">
        <f ca="1">IFERROR(__xludf.DUMMYFUNCTION("ARRAY_CONSTRAIN(ARRAYFORMULA(SINGLE(TEXTJOIN(""_"",TRUE,D1286,G1286))), 1, 1)"),"State Policy Network_2021")</f>
        <v>State Policy Network_2021</v>
      </c>
      <c r="D1286" s="4" t="s">
        <v>46</v>
      </c>
      <c r="E1286" s="4" t="s">
        <v>291</v>
      </c>
      <c r="F1286" s="6">
        <v>25000</v>
      </c>
      <c r="G1286" s="4">
        <v>2021</v>
      </c>
      <c r="H1286" s="4" t="s">
        <v>361</v>
      </c>
    </row>
    <row r="1287" spans="1:9" ht="15.75" customHeight="1" x14ac:dyDescent="0.2">
      <c r="A1287" s="4">
        <v>990</v>
      </c>
      <c r="B1287" s="4" t="str">
        <f t="shared" si="5"/>
        <v>State Policy Network_Buckeye Institute for Public Policy Solutions202125000</v>
      </c>
      <c r="C1287" s="4" t="str">
        <f ca="1">IFERROR(__xludf.DUMMYFUNCTION("ARRAY_CONSTRAIN(ARRAYFORMULA(SINGLE(TEXTJOIN(""_"",TRUE,D1287,G1287))), 1, 1)"),"State Policy Network_2021")</f>
        <v>State Policy Network_2021</v>
      </c>
      <c r="D1287" s="4" t="s">
        <v>46</v>
      </c>
      <c r="E1287" s="4" t="s">
        <v>252</v>
      </c>
      <c r="F1287" s="6">
        <v>25000</v>
      </c>
      <c r="G1287" s="4">
        <v>2021</v>
      </c>
      <c r="H1287" s="4" t="s">
        <v>361</v>
      </c>
    </row>
    <row r="1288" spans="1:9" ht="15.75" customHeight="1" x14ac:dyDescent="0.2">
      <c r="A1288" s="4">
        <v>990</v>
      </c>
      <c r="B1288" s="4" t="str">
        <f t="shared" si="5"/>
        <v>State Policy Network_James Madison Institute202123500</v>
      </c>
      <c r="C1288" s="4" t="str">
        <f ca="1">IFERROR(__xludf.DUMMYFUNCTION("ARRAY_CONSTRAIN(ARRAYFORMULA(SINGLE(TEXTJOIN(""_"",TRUE,D1288,G1288))), 1, 1)"),"State Policy Network_2021")</f>
        <v>State Policy Network_2021</v>
      </c>
      <c r="D1288" s="4" t="s">
        <v>46</v>
      </c>
      <c r="E1288" s="4" t="s">
        <v>291</v>
      </c>
      <c r="F1288" s="6">
        <v>23500</v>
      </c>
      <c r="G1288" s="4">
        <v>2021</v>
      </c>
      <c r="H1288" s="4" t="s">
        <v>361</v>
      </c>
    </row>
    <row r="1289" spans="1:9" ht="15.75" customHeight="1" x14ac:dyDescent="0.2">
      <c r="A1289" s="4">
        <v>990</v>
      </c>
      <c r="B1289" s="4" t="str">
        <f t="shared" si="5"/>
        <v>State Policy Network_Alaska Policy Forum202115000</v>
      </c>
      <c r="C1289" s="4" t="str">
        <f ca="1">IFERROR(__xludf.DUMMYFUNCTION("ARRAY_CONSTRAIN(ARRAYFORMULA(SINGLE(TEXTJOIN(""_"",TRUE,D1289,G1289))), 1, 1)"),"State Policy Network_2021")</f>
        <v>State Policy Network_2021</v>
      </c>
      <c r="D1289" s="4" t="s">
        <v>46</v>
      </c>
      <c r="E1289" s="8" t="s">
        <v>236</v>
      </c>
      <c r="F1289" s="6">
        <v>15000</v>
      </c>
      <c r="G1289" s="4">
        <v>2021</v>
      </c>
      <c r="H1289" s="4" t="s">
        <v>361</v>
      </c>
    </row>
    <row r="1290" spans="1:9" ht="15.75" customHeight="1" x14ac:dyDescent="0.2">
      <c r="A1290" s="4">
        <v>990</v>
      </c>
      <c r="B1290" s="4" t="str">
        <f t="shared" si="5"/>
        <v>State Policy Network_Platte Institute for Economic Research202115000</v>
      </c>
      <c r="C1290" s="4" t="str">
        <f ca="1">IFERROR(__xludf.DUMMYFUNCTION("ARRAY_CONSTRAIN(ARRAYFORMULA(SINGLE(TEXTJOIN(""_"",TRUE,D1290,G1290))), 1, 1)"),"State Policy Network_2021")</f>
        <v>State Policy Network_2021</v>
      </c>
      <c r="D1290" s="4" t="s">
        <v>46</v>
      </c>
      <c r="E1290" s="8" t="s">
        <v>326</v>
      </c>
      <c r="F1290" s="6">
        <v>15000</v>
      </c>
      <c r="G1290" s="4">
        <v>2021</v>
      </c>
      <c r="H1290" s="4" t="s">
        <v>361</v>
      </c>
    </row>
    <row r="1291" spans="1:9" ht="15.75" customHeight="1" x14ac:dyDescent="0.2">
      <c r="A1291" s="4">
        <v>990</v>
      </c>
      <c r="B1291" s="4" t="str">
        <f t="shared" si="5"/>
        <v>State Policy Network_Talent Market202115000</v>
      </c>
      <c r="C1291" s="4" t="str">
        <f ca="1">IFERROR(__xludf.DUMMYFUNCTION("ARRAY_CONSTRAIN(ARRAYFORMULA(SINGLE(TEXTJOIN(""_"",TRUE,D1291,G1291))), 1, 1)"),"State Policy Network_2021")</f>
        <v>State Policy Network_2021</v>
      </c>
      <c r="D1291" s="4" t="s">
        <v>46</v>
      </c>
      <c r="E1291" s="4" t="s">
        <v>338</v>
      </c>
      <c r="F1291" s="6">
        <v>15000</v>
      </c>
      <c r="G1291" s="4">
        <v>2021</v>
      </c>
      <c r="H1291" s="4" t="s">
        <v>361</v>
      </c>
      <c r="I1291" s="4" t="s">
        <v>731</v>
      </c>
    </row>
    <row r="1292" spans="1:9" ht="15.75" customHeight="1" x14ac:dyDescent="0.2">
      <c r="A1292" s="4">
        <v>990</v>
      </c>
      <c r="B1292" s="4" t="str">
        <f t="shared" si="5"/>
        <v>State Policy Network_Thomas Jefferson Institute202110000</v>
      </c>
      <c r="C1292" s="4" t="str">
        <f ca="1">IFERROR(__xludf.DUMMYFUNCTION("ARRAY_CONSTRAIN(ARRAYFORMULA(SINGLE(TEXTJOIN(""_"",TRUE,D1292,G1292))), 1, 1)"),"State Policy Network_2021")</f>
        <v>State Policy Network_2021</v>
      </c>
      <c r="D1292" s="4" t="s">
        <v>46</v>
      </c>
      <c r="E1292" s="4" t="s">
        <v>344</v>
      </c>
      <c r="F1292" s="6">
        <v>10000</v>
      </c>
      <c r="G1292" s="4">
        <v>2021</v>
      </c>
      <c r="H1292" s="4" t="s">
        <v>361</v>
      </c>
    </row>
    <row r="1293" spans="1:9" ht="15.75" customHeight="1" x14ac:dyDescent="0.2">
      <c r="A1293" s="4">
        <v>990</v>
      </c>
      <c r="B1293" s="4" t="str">
        <f t="shared" si="5"/>
        <v>State Policy Network_Beacon Center of Tennessee20218000</v>
      </c>
      <c r="C1293" s="4" t="str">
        <f ca="1">IFERROR(__xludf.DUMMYFUNCTION("ARRAY_CONSTRAIN(ARRAYFORMULA(SINGLE(TEXTJOIN(""_"",TRUE,D1293,G1293))), 1, 1)"),"State Policy Network_2021")</f>
        <v>State Policy Network_2021</v>
      </c>
      <c r="D1293" s="4" t="s">
        <v>46</v>
      </c>
      <c r="E1293" s="8" t="s">
        <v>249</v>
      </c>
      <c r="F1293" s="6">
        <v>8000</v>
      </c>
      <c r="G1293" s="4">
        <v>2021</v>
      </c>
      <c r="H1293" s="4" t="s">
        <v>361</v>
      </c>
    </row>
    <row r="1294" spans="1:9" ht="15.75" customHeight="1" x14ac:dyDescent="0.2">
      <c r="A1294" s="4">
        <v>990</v>
      </c>
      <c r="B1294" s="4" t="str">
        <f t="shared" si="5"/>
        <v>State Policy Network_Illinois Policy Institute20218000</v>
      </c>
      <c r="C1294" s="4" t="str">
        <f ca="1">IFERROR(__xludf.DUMMYFUNCTION("ARRAY_CONSTRAIN(ARRAYFORMULA(SINGLE(TEXTJOIN(""_"",TRUE,D1294,G1294))), 1, 1)"),"State Policy Network_2021")</f>
        <v>State Policy Network_2021</v>
      </c>
      <c r="D1294" s="4" t="s">
        <v>46</v>
      </c>
      <c r="E1294" s="8" t="s">
        <v>286</v>
      </c>
      <c r="F1294" s="6">
        <v>8000</v>
      </c>
      <c r="G1294" s="4">
        <v>2021</v>
      </c>
      <c r="H1294" s="4" t="s">
        <v>361</v>
      </c>
    </row>
    <row r="1295" spans="1:9" ht="15.75" customHeight="1" x14ac:dyDescent="0.2">
      <c r="A1295" s="4">
        <v>990</v>
      </c>
      <c r="B1295" s="4" t="str">
        <f t="shared" si="5"/>
        <v>State Policy Network_Commonwealth Foundation for Public Policy Alternatives20217500</v>
      </c>
      <c r="C1295" s="4" t="str">
        <f ca="1">IFERROR(__xludf.DUMMYFUNCTION("ARRAY_CONSTRAIN(ARRAYFORMULA(SINGLE(TEXTJOIN(""_"",TRUE,D1295,G1295))), 1, 1)"),"State Policy Network_2021")</f>
        <v>State Policy Network_2021</v>
      </c>
      <c r="D1295" s="4" t="s">
        <v>46</v>
      </c>
      <c r="E1295" s="4" t="s">
        <v>262</v>
      </c>
      <c r="F1295" s="6">
        <v>7500</v>
      </c>
      <c r="G1295" s="4">
        <v>2021</v>
      </c>
      <c r="H1295" s="4" t="s">
        <v>361</v>
      </c>
    </row>
    <row r="1296" spans="1:9" ht="15.75" customHeight="1" x14ac:dyDescent="0.2">
      <c r="A1296" s="4">
        <v>990</v>
      </c>
      <c r="B1296" s="4" t="str">
        <f t="shared" si="5"/>
        <v>State Policy Network_Illinois Policy Institute20217500</v>
      </c>
      <c r="C1296" s="4" t="str">
        <f ca="1">IFERROR(__xludf.DUMMYFUNCTION("ARRAY_CONSTRAIN(ARRAYFORMULA(SINGLE(TEXTJOIN(""_"",TRUE,D1296,G1296))), 1, 1)"),"State Policy Network_2021")</f>
        <v>State Policy Network_2021</v>
      </c>
      <c r="D1296" s="4" t="s">
        <v>46</v>
      </c>
      <c r="E1296" s="8" t="s">
        <v>286</v>
      </c>
      <c r="F1296" s="6">
        <v>7500</v>
      </c>
      <c r="G1296" s="4">
        <v>2021</v>
      </c>
      <c r="H1296" s="4" t="s">
        <v>361</v>
      </c>
    </row>
    <row r="1297" spans="1:8" ht="15.75" customHeight="1" x14ac:dyDescent="0.2">
      <c r="A1297" s="4">
        <v>990</v>
      </c>
      <c r="B1297" s="4" t="str">
        <f t="shared" si="5"/>
        <v>State Policy Network_Nevada Action for School Options202175000</v>
      </c>
      <c r="C1297" s="4" t="str">
        <f ca="1">IFERROR(__xludf.DUMMYFUNCTION("ARRAY_CONSTRAIN(ARRAYFORMULA(SINGLE(TEXTJOIN(""_"",TRUE,D1297,G1297))), 1, 1)"),"State Policy Network_2021")</f>
        <v>State Policy Network_2021</v>
      </c>
      <c r="D1297" s="4" t="s">
        <v>46</v>
      </c>
      <c r="E1297" s="8" t="s">
        <v>311</v>
      </c>
      <c r="F1297" s="6">
        <v>75000</v>
      </c>
      <c r="G1297" s="4">
        <v>2021</v>
      </c>
      <c r="H1297" s="4" t="s">
        <v>361</v>
      </c>
    </row>
    <row r="1298" spans="1:8" ht="15.75" customHeight="1" x14ac:dyDescent="0.2">
      <c r="A1298" s="4">
        <v>990</v>
      </c>
      <c r="B1298" s="4" t="str">
        <f t="shared" si="5"/>
        <v>State Policy Network_People United for Privacy Foundation2020250000</v>
      </c>
      <c r="C1298" s="4" t="str">
        <f ca="1">IFERROR(__xludf.DUMMYFUNCTION("ARRAY_CONSTRAIN(ARRAYFORMULA(SINGLE(TEXTJOIN(""_"",TRUE,D1298,G1298))), 1, 1)"),"State Policy Network_2020")</f>
        <v>State Policy Network_2020</v>
      </c>
      <c r="D1298" s="4" t="s">
        <v>46</v>
      </c>
      <c r="E1298" s="8" t="s">
        <v>90</v>
      </c>
      <c r="F1298" s="6">
        <v>250000</v>
      </c>
      <c r="G1298" s="4">
        <v>2020</v>
      </c>
      <c r="H1298" s="4" t="s">
        <v>361</v>
      </c>
    </row>
    <row r="1299" spans="1:8" ht="15.75" customHeight="1" x14ac:dyDescent="0.2">
      <c r="A1299" s="4">
        <v>990</v>
      </c>
      <c r="B1299" s="4" t="str">
        <f t="shared" si="5"/>
        <v>State Policy Network_Mackinac Center for Public Policy2020123000</v>
      </c>
      <c r="C1299" s="4" t="str">
        <f ca="1">IFERROR(__xludf.DUMMYFUNCTION("ARRAY_CONSTRAIN(ARRAYFORMULA(SINGLE(TEXTJOIN(""_"",TRUE,D1299,G1299))), 1, 1)"),"State Policy Network_2020")</f>
        <v>State Policy Network_2020</v>
      </c>
      <c r="D1299" s="4" t="s">
        <v>46</v>
      </c>
      <c r="E1299" s="8" t="s">
        <v>303</v>
      </c>
      <c r="F1299" s="6">
        <v>123000</v>
      </c>
      <c r="G1299" s="4">
        <v>2020</v>
      </c>
      <c r="H1299" s="4" t="s">
        <v>361</v>
      </c>
    </row>
    <row r="1300" spans="1:8" ht="15.75" customHeight="1" x14ac:dyDescent="0.2">
      <c r="A1300" s="4">
        <v>990</v>
      </c>
      <c r="B1300" s="4" t="str">
        <f t="shared" si="5"/>
        <v>State Policy Network_Empire Center for Public Policy2020120000</v>
      </c>
      <c r="C1300" s="4" t="str">
        <f ca="1">IFERROR(__xludf.DUMMYFUNCTION("ARRAY_CONSTRAIN(ARRAYFORMULA(SINGLE(TEXTJOIN(""_"",TRUE,D1300,G1300))), 1, 1)"),"State Policy Network_2020")</f>
        <v>State Policy Network_2020</v>
      </c>
      <c r="D1300" s="4" t="s">
        <v>46</v>
      </c>
      <c r="E1300" s="8" t="s">
        <v>264</v>
      </c>
      <c r="F1300" s="6">
        <v>120000</v>
      </c>
      <c r="G1300" s="4">
        <v>2020</v>
      </c>
      <c r="H1300" s="4" t="s">
        <v>361</v>
      </c>
    </row>
    <row r="1301" spans="1:8" ht="15.75" customHeight="1" x14ac:dyDescent="0.2">
      <c r="A1301" s="4">
        <v>990</v>
      </c>
      <c r="B1301" s="4" t="str">
        <f t="shared" si="5"/>
        <v>State Policy Network_Palmetto Promise Institute2020118000</v>
      </c>
      <c r="C1301" s="4" t="str">
        <f ca="1">IFERROR(__xludf.DUMMYFUNCTION("ARRAY_CONSTRAIN(ARRAYFORMULA(SINGLE(TEXTJOIN(""_"",TRUE,D1301,G1301))), 1, 1)"),"State Policy Network_2020")</f>
        <v>State Policy Network_2020</v>
      </c>
      <c r="D1301" s="4" t="s">
        <v>46</v>
      </c>
      <c r="E1301" s="8" t="s">
        <v>322</v>
      </c>
      <c r="F1301" s="6">
        <v>118000</v>
      </c>
      <c r="G1301" s="4">
        <v>2020</v>
      </c>
      <c r="H1301" s="4" t="s">
        <v>361</v>
      </c>
    </row>
    <row r="1302" spans="1:8" ht="15.75" customHeight="1" x14ac:dyDescent="0.2">
      <c r="A1302" s="4">
        <v>990</v>
      </c>
      <c r="B1302" s="4" t="str">
        <f t="shared" si="5"/>
        <v>State Policy Network_Beacon Center of Tennessee2020100000</v>
      </c>
      <c r="C1302" s="4" t="str">
        <f ca="1">IFERROR(__xludf.DUMMYFUNCTION("ARRAY_CONSTRAIN(ARRAYFORMULA(SINGLE(TEXTJOIN(""_"",TRUE,D1302,G1302))), 1, 1)"),"State Policy Network_2020")</f>
        <v>State Policy Network_2020</v>
      </c>
      <c r="D1302" s="4" t="s">
        <v>46</v>
      </c>
      <c r="E1302" s="8" t="s">
        <v>249</v>
      </c>
      <c r="F1302" s="6">
        <v>100000</v>
      </c>
      <c r="G1302" s="4">
        <v>2020</v>
      </c>
      <c r="H1302" s="4" t="s">
        <v>361</v>
      </c>
    </row>
    <row r="1303" spans="1:8" ht="15.75" customHeight="1" x14ac:dyDescent="0.2">
      <c r="A1303" s="4">
        <v>990</v>
      </c>
      <c r="B1303" s="4" t="str">
        <f t="shared" si="5"/>
        <v>State Policy Network_California Policy Center202095000</v>
      </c>
      <c r="C1303" s="4" t="str">
        <f ca="1">IFERROR(__xludf.DUMMYFUNCTION("ARRAY_CONSTRAIN(ARRAYFORMULA(SINGLE(TEXTJOIN(""_"",TRUE,D1303,G1303))), 1, 1)"),"State Policy Network_2020")</f>
        <v>State Policy Network_2020</v>
      </c>
      <c r="D1303" s="4" t="s">
        <v>46</v>
      </c>
      <c r="E1303" s="8" t="s">
        <v>254</v>
      </c>
      <c r="F1303" s="6">
        <v>95000</v>
      </c>
      <c r="G1303" s="4">
        <v>2020</v>
      </c>
      <c r="H1303" s="4" t="s">
        <v>361</v>
      </c>
    </row>
    <row r="1304" spans="1:8" ht="15" customHeight="1" x14ac:dyDescent="0.2">
      <c r="A1304" s="4">
        <v>990</v>
      </c>
      <c r="B1304" s="4" t="str">
        <f t="shared" si="5"/>
        <v>State Policy Network_Alaska Policy Forum202090000</v>
      </c>
      <c r="C1304" s="4" t="str">
        <f ca="1">IFERROR(__xludf.DUMMYFUNCTION("ARRAY_CONSTRAIN(ARRAYFORMULA(SINGLE(TEXTJOIN(""_"",TRUE,D1304,G1304))), 1, 1)"),"State Policy Network_2020")</f>
        <v>State Policy Network_2020</v>
      </c>
      <c r="D1304" s="4" t="s">
        <v>46</v>
      </c>
      <c r="E1304" s="8" t="s">
        <v>236</v>
      </c>
      <c r="F1304" s="6">
        <v>90000</v>
      </c>
      <c r="G1304" s="4">
        <v>2020</v>
      </c>
      <c r="H1304" s="4" t="s">
        <v>361</v>
      </c>
    </row>
    <row r="1305" spans="1:8" ht="15" customHeight="1" x14ac:dyDescent="0.2">
      <c r="A1305" s="4">
        <v>990</v>
      </c>
      <c r="B1305" s="4" t="str">
        <f t="shared" si="5"/>
        <v>State Policy Network_Georgia Center for Opportunity202075000</v>
      </c>
      <c r="C1305" s="4" t="str">
        <f ca="1">IFERROR(__xludf.DUMMYFUNCTION("ARRAY_CONSTRAIN(ARRAYFORMULA(SINGLE(TEXTJOIN(""_"",TRUE,D1305,G1305))), 1, 1)"),"State Policy Network_2020")</f>
        <v>State Policy Network_2020</v>
      </c>
      <c r="D1305" s="4" t="s">
        <v>46</v>
      </c>
      <c r="E1305" s="8" t="s">
        <v>275</v>
      </c>
      <c r="F1305" s="6">
        <v>75000</v>
      </c>
      <c r="G1305" s="4">
        <v>2020</v>
      </c>
      <c r="H1305" s="4" t="s">
        <v>361</v>
      </c>
    </row>
    <row r="1306" spans="1:8" ht="15" customHeight="1" x14ac:dyDescent="0.2">
      <c r="A1306" s="4">
        <v>990</v>
      </c>
      <c r="B1306" s="4" t="str">
        <f t="shared" si="5"/>
        <v>State Policy Network_Independence Institute202075000</v>
      </c>
      <c r="C1306" s="4" t="str">
        <f ca="1">IFERROR(__xludf.DUMMYFUNCTION("ARRAY_CONSTRAIN(ARRAYFORMULA(SINGLE(TEXTJOIN(""_"",TRUE,D1306,G1306))), 1, 1)"),"State Policy Network_2020")</f>
        <v>State Policy Network_2020</v>
      </c>
      <c r="D1306" s="4" t="s">
        <v>46</v>
      </c>
      <c r="E1306" s="8" t="s">
        <v>287</v>
      </c>
      <c r="F1306" s="6">
        <v>75000</v>
      </c>
      <c r="G1306" s="4">
        <v>2020</v>
      </c>
      <c r="H1306" s="4" t="s">
        <v>361</v>
      </c>
    </row>
    <row r="1307" spans="1:8" ht="15" customHeight="1" x14ac:dyDescent="0.2">
      <c r="A1307" s="4">
        <v>990</v>
      </c>
      <c r="B1307" s="4" t="str">
        <f t="shared" si="5"/>
        <v>State Policy Network_Great American Foundation American Culture Foundation202075000</v>
      </c>
      <c r="C1307" s="4" t="str">
        <f ca="1">IFERROR(__xludf.DUMMYFUNCTION("ARRAY_CONSTRAIN(ARRAYFORMULA(SINGLE(TEXTJOIN(""_"",TRUE,D1307,G1307))), 1, 1)"),"State Policy Network_2020")</f>
        <v>State Policy Network_2020</v>
      </c>
      <c r="D1307" s="4" t="s">
        <v>46</v>
      </c>
      <c r="E1307" s="8" t="s">
        <v>281</v>
      </c>
      <c r="F1307" s="6">
        <v>75000</v>
      </c>
      <c r="G1307" s="4">
        <v>2020</v>
      </c>
      <c r="H1307" s="4" t="s">
        <v>361</v>
      </c>
    </row>
    <row r="1308" spans="1:8" ht="15" customHeight="1" x14ac:dyDescent="0.2">
      <c r="A1308" s="4">
        <v>990</v>
      </c>
      <c r="B1308" s="4" t="str">
        <f t="shared" si="5"/>
        <v>State Policy Network_Pioneer Institute for Public Policy Research202073000</v>
      </c>
      <c r="C1308" s="4" t="str">
        <f ca="1">IFERROR(__xludf.DUMMYFUNCTION("ARRAY_CONSTRAIN(ARRAYFORMULA(SINGLE(TEXTJOIN(""_"",TRUE,D1308,G1308))), 1, 1)"),"State Policy Network_2020")</f>
        <v>State Policy Network_2020</v>
      </c>
      <c r="D1308" s="4" t="s">
        <v>46</v>
      </c>
      <c r="E1308" s="8" t="s">
        <v>325</v>
      </c>
      <c r="F1308" s="6">
        <v>73000</v>
      </c>
      <c r="G1308" s="4">
        <v>2020</v>
      </c>
      <c r="H1308" s="4" t="s">
        <v>361</v>
      </c>
    </row>
    <row r="1309" spans="1:8" ht="15" customHeight="1" x14ac:dyDescent="0.2">
      <c r="A1309" s="4">
        <v>990</v>
      </c>
      <c r="B1309" s="4" t="str">
        <f t="shared" si="5"/>
        <v>State Policy Network_Buckeye Institute for Public Policy Solutions202070000</v>
      </c>
      <c r="C1309" s="4" t="str">
        <f ca="1">IFERROR(__xludf.DUMMYFUNCTION("ARRAY_CONSTRAIN(ARRAYFORMULA(SINGLE(TEXTJOIN(""_"",TRUE,D1309,G1309))), 1, 1)"),"State Policy Network_2020")</f>
        <v>State Policy Network_2020</v>
      </c>
      <c r="D1309" s="4" t="s">
        <v>46</v>
      </c>
      <c r="E1309" s="4" t="s">
        <v>252</v>
      </c>
      <c r="F1309" s="6">
        <v>70000</v>
      </c>
      <c r="G1309" s="4">
        <v>2020</v>
      </c>
      <c r="H1309" s="4" t="s">
        <v>361</v>
      </c>
    </row>
    <row r="1310" spans="1:8" ht="15" customHeight="1" x14ac:dyDescent="0.2">
      <c r="A1310" s="4">
        <v>990</v>
      </c>
      <c r="B1310" s="4" t="str">
        <f t="shared" si="5"/>
        <v>State Policy Network_Oklahoma Council of Public Affairs202070000</v>
      </c>
      <c r="C1310" s="4" t="str">
        <f ca="1">IFERROR(__xludf.DUMMYFUNCTION("ARRAY_CONSTRAIN(ARRAYFORMULA(SINGLE(TEXTJOIN(""_"",TRUE,D1310,G1310))), 1, 1)"),"State Policy Network_2020")</f>
        <v>State Policy Network_2020</v>
      </c>
      <c r="D1310" s="4" t="s">
        <v>46</v>
      </c>
      <c r="E1310" s="8" t="s">
        <v>315</v>
      </c>
      <c r="F1310" s="6">
        <v>70000</v>
      </c>
      <c r="G1310" s="4">
        <v>2020</v>
      </c>
      <c r="H1310" s="4" t="s">
        <v>361</v>
      </c>
    </row>
    <row r="1311" spans="1:8" ht="15" customHeight="1" x14ac:dyDescent="0.2">
      <c r="A1311" s="4">
        <v>990</v>
      </c>
      <c r="B1311" s="4" t="str">
        <f t="shared" si="5"/>
        <v>State Policy Network_Kansas Policy Institute202060000</v>
      </c>
      <c r="C1311" s="4" t="str">
        <f ca="1">IFERROR(__xludf.DUMMYFUNCTION("ARRAY_CONSTRAIN(ARRAYFORMULA(SINGLE(TEXTJOIN(""_"",TRUE,D1311,G1311))), 1, 1)"),"State Policy Network_2020")</f>
        <v>State Policy Network_2020</v>
      </c>
      <c r="D1311" s="4" t="s">
        <v>46</v>
      </c>
      <c r="E1311" s="8" t="s">
        <v>295</v>
      </c>
      <c r="F1311" s="6">
        <v>60000</v>
      </c>
      <c r="G1311" s="4">
        <v>2020</v>
      </c>
      <c r="H1311" s="4" t="s">
        <v>361</v>
      </c>
    </row>
    <row r="1312" spans="1:8" ht="15" customHeight="1" x14ac:dyDescent="0.2">
      <c r="A1312" s="4">
        <v>990</v>
      </c>
      <c r="B1312" s="4" t="str">
        <f t="shared" si="5"/>
        <v>State Policy Network_Badger Institute202055000</v>
      </c>
      <c r="C1312" s="4" t="str">
        <f ca="1">IFERROR(__xludf.DUMMYFUNCTION("ARRAY_CONSTRAIN(ARRAYFORMULA(SINGLE(TEXTJOIN(""_"",TRUE,D1312,G1312))), 1, 1)"),"State Policy Network_2020")</f>
        <v>State Policy Network_2020</v>
      </c>
      <c r="D1312" s="4" t="s">
        <v>46</v>
      </c>
      <c r="E1312" s="8" t="s">
        <v>247</v>
      </c>
      <c r="F1312" s="6">
        <v>55000</v>
      </c>
      <c r="G1312" s="4">
        <v>2020</v>
      </c>
      <c r="H1312" s="4" t="s">
        <v>361</v>
      </c>
    </row>
    <row r="1313" spans="1:8" ht="15" customHeight="1" x14ac:dyDescent="0.2">
      <c r="A1313" s="4">
        <v>990</v>
      </c>
      <c r="B1313" s="4" t="str">
        <f t="shared" si="5"/>
        <v>State Policy Network_Goldwater Institute for Public Policy202052500</v>
      </c>
      <c r="C1313" s="4" t="str">
        <f ca="1">IFERROR(__xludf.DUMMYFUNCTION("ARRAY_CONSTRAIN(ARRAYFORMULA(SINGLE(TEXTJOIN(""_"",TRUE,D1313,G1313))), 1, 1)"),"State Policy Network_2020")</f>
        <v>State Policy Network_2020</v>
      </c>
      <c r="D1313" s="4" t="s">
        <v>46</v>
      </c>
      <c r="E1313" s="8" t="s">
        <v>278</v>
      </c>
      <c r="F1313" s="6">
        <v>52500</v>
      </c>
      <c r="G1313" s="4">
        <v>2020</v>
      </c>
      <c r="H1313" s="4" t="s">
        <v>361</v>
      </c>
    </row>
    <row r="1314" spans="1:8" ht="15" customHeight="1" x14ac:dyDescent="0.2">
      <c r="A1314" s="4">
        <v>990</v>
      </c>
      <c r="B1314" s="4" t="str">
        <f t="shared" si="5"/>
        <v>State Policy Network_John W Pope Civitas Institute202051000</v>
      </c>
      <c r="C1314" s="4" t="str">
        <f ca="1">IFERROR(__xludf.DUMMYFUNCTION("ARRAY_CONSTRAIN(ARRAYFORMULA(SINGLE(TEXTJOIN(""_"",TRUE,D1314,G1314))), 1, 1)"),"State Policy Network_2020")</f>
        <v>State Policy Network_2020</v>
      </c>
      <c r="D1314" s="4" t="s">
        <v>46</v>
      </c>
      <c r="E1314" s="8" t="s">
        <v>293</v>
      </c>
      <c r="F1314" s="6">
        <v>51000</v>
      </c>
      <c r="G1314" s="4">
        <v>2020</v>
      </c>
      <c r="H1314" s="4" t="s">
        <v>361</v>
      </c>
    </row>
    <row r="1315" spans="1:8" ht="15" customHeight="1" x14ac:dyDescent="0.2">
      <c r="A1315" s="4">
        <v>990</v>
      </c>
      <c r="B1315" s="4" t="str">
        <f t="shared" si="5"/>
        <v>State Policy Network_Americans for Fair Treatment202050000</v>
      </c>
      <c r="C1315" s="4" t="str">
        <f ca="1">IFERROR(__xludf.DUMMYFUNCTION("ARRAY_CONSTRAIN(ARRAYFORMULA(SINGLE(TEXTJOIN(""_"",TRUE,D1315,G1315))), 1, 1)"),"State Policy Network_2020")</f>
        <v>State Policy Network_2020</v>
      </c>
      <c r="D1315" s="4" t="s">
        <v>46</v>
      </c>
      <c r="E1315" s="8" t="s">
        <v>242</v>
      </c>
      <c r="F1315" s="6">
        <v>50000</v>
      </c>
      <c r="G1315" s="4">
        <v>2020</v>
      </c>
      <c r="H1315" s="4" t="s">
        <v>361</v>
      </c>
    </row>
    <row r="1316" spans="1:8" ht="15" customHeight="1" x14ac:dyDescent="0.2">
      <c r="A1316" s="4">
        <v>990</v>
      </c>
      <c r="B1316" s="4" t="str">
        <f t="shared" si="5"/>
        <v>State Policy Network_Ballotpedia Inc202050000</v>
      </c>
      <c r="C1316" s="4" t="str">
        <f ca="1">IFERROR(__xludf.DUMMYFUNCTION("ARRAY_CONSTRAIN(ARRAYFORMULA(SINGLE(TEXTJOIN(""_"",TRUE,D1316,G1316))), 1, 1)"),"State Policy Network_2020")</f>
        <v>State Policy Network_2020</v>
      </c>
      <c r="D1316" s="4" t="s">
        <v>46</v>
      </c>
      <c r="E1316" s="8" t="s">
        <v>248</v>
      </c>
      <c r="F1316" s="6">
        <v>50000</v>
      </c>
      <c r="G1316" s="4">
        <v>2020</v>
      </c>
      <c r="H1316" s="4" t="s">
        <v>361</v>
      </c>
    </row>
    <row r="1317" spans="1:8" ht="15" customHeight="1" x14ac:dyDescent="0.2">
      <c r="A1317" s="4">
        <v>990</v>
      </c>
      <c r="B1317" s="4" t="str">
        <f t="shared" si="5"/>
        <v>State Policy Network_John Locke Foundation202050000</v>
      </c>
      <c r="C1317" s="4" t="str">
        <f ca="1">IFERROR(__xludf.DUMMYFUNCTION("ARRAY_CONSTRAIN(ARRAYFORMULA(SINGLE(TEXTJOIN(""_"",TRUE,D1317,G1317))), 1, 1)"),"State Policy Network_2020")</f>
        <v>State Policy Network_2020</v>
      </c>
      <c r="D1317" s="4" t="s">
        <v>46</v>
      </c>
      <c r="E1317" s="8" t="s">
        <v>292</v>
      </c>
      <c r="F1317" s="6">
        <v>50000</v>
      </c>
      <c r="G1317" s="4">
        <v>2020</v>
      </c>
      <c r="H1317" s="4" t="s">
        <v>361</v>
      </c>
    </row>
    <row r="1318" spans="1:8" ht="15" customHeight="1" x14ac:dyDescent="0.2">
      <c r="A1318" s="4">
        <v>990</v>
      </c>
      <c r="B1318" s="4" t="str">
        <f t="shared" si="5"/>
        <v>State Policy Network_Center of the American Experiment202046400</v>
      </c>
      <c r="C1318" s="4" t="str">
        <f ca="1">IFERROR(__xludf.DUMMYFUNCTION("ARRAY_CONSTRAIN(ARRAYFORMULA(SINGLE(TEXTJOIN(""_"",TRUE,D1318,G1318))), 1, 1)"),"State Policy Network_2020")</f>
        <v>State Policy Network_2020</v>
      </c>
      <c r="D1318" s="4" t="s">
        <v>46</v>
      </c>
      <c r="E1318" s="8" t="s">
        <v>259</v>
      </c>
      <c r="F1318" s="6">
        <v>46400</v>
      </c>
      <c r="G1318" s="4">
        <v>2020</v>
      </c>
      <c r="H1318" s="4" t="s">
        <v>361</v>
      </c>
    </row>
    <row r="1319" spans="1:8" ht="15" customHeight="1" x14ac:dyDescent="0.2">
      <c r="A1319" s="4">
        <v>990</v>
      </c>
      <c r="B1319" s="4" t="str">
        <f t="shared" si="5"/>
        <v>State Policy Network_Yankee Institute for Public Policy202045000</v>
      </c>
      <c r="C1319" s="4" t="str">
        <f ca="1">IFERROR(__xludf.DUMMYFUNCTION("ARRAY_CONSTRAIN(ARRAYFORMULA(SINGLE(TEXTJOIN(""_"",TRUE,D1319,G1319))), 1, 1)"),"State Policy Network_2020")</f>
        <v>State Policy Network_2020</v>
      </c>
      <c r="D1319" s="4" t="s">
        <v>46</v>
      </c>
      <c r="E1319" s="8" t="s">
        <v>354</v>
      </c>
      <c r="F1319" s="6">
        <v>45000</v>
      </c>
      <c r="G1319" s="4">
        <v>2020</v>
      </c>
      <c r="H1319" s="4" t="s">
        <v>361</v>
      </c>
    </row>
    <row r="1320" spans="1:8" ht="15" customHeight="1" x14ac:dyDescent="0.2">
      <c r="A1320" s="4">
        <v>990</v>
      </c>
      <c r="B1320" s="4" t="str">
        <f t="shared" si="5"/>
        <v>State Policy Network_Maine Heritage Policy Center202044000</v>
      </c>
      <c r="C1320" s="4" t="str">
        <f ca="1">IFERROR(__xludf.DUMMYFUNCTION("ARRAY_CONSTRAIN(ARRAYFORMULA(SINGLE(TEXTJOIN(""_"",TRUE,D1320,G1320))), 1, 1)"),"State Policy Network_2020")</f>
        <v>State Policy Network_2020</v>
      </c>
      <c r="D1320" s="4" t="s">
        <v>46</v>
      </c>
      <c r="E1320" s="4" t="s">
        <v>305</v>
      </c>
      <c r="F1320" s="6">
        <v>44000</v>
      </c>
      <c r="G1320" s="4">
        <v>2020</v>
      </c>
      <c r="H1320" s="4" t="s">
        <v>361</v>
      </c>
    </row>
    <row r="1321" spans="1:8" ht="15" customHeight="1" x14ac:dyDescent="0.2">
      <c r="A1321" s="4">
        <v>990</v>
      </c>
      <c r="B1321" s="4" t="str">
        <f t="shared" si="5"/>
        <v>State Policy Network_American Public Servants Charitable Foundation202040000</v>
      </c>
      <c r="C1321" s="4" t="str">
        <f ca="1">IFERROR(__xludf.DUMMYFUNCTION("ARRAY_CONSTRAIN(ARRAYFORMULA(SINGLE(TEXTJOIN(""_"",TRUE,D1321,G1321))), 1, 1)"),"State Policy Network_2020")</f>
        <v>State Policy Network_2020</v>
      </c>
      <c r="D1321" s="4" t="s">
        <v>46</v>
      </c>
      <c r="E1321" s="8" t="s">
        <v>240</v>
      </c>
      <c r="F1321" s="6">
        <v>40000</v>
      </c>
      <c r="G1321" s="4">
        <v>2020</v>
      </c>
      <c r="H1321" s="4" t="s">
        <v>361</v>
      </c>
    </row>
    <row r="1322" spans="1:8" ht="15" customHeight="1" x14ac:dyDescent="0.2">
      <c r="A1322" s="4">
        <v>990</v>
      </c>
      <c r="B1322" s="4" t="str">
        <f t="shared" si="5"/>
        <v>State Policy Network_Empower Mississippi Foundation202040000</v>
      </c>
      <c r="C1322" s="4" t="str">
        <f ca="1">IFERROR(__xludf.DUMMYFUNCTION("ARRAY_CONSTRAIN(ARRAYFORMULA(SINGLE(TEXTJOIN(""_"",TRUE,D1322,G1322))), 1, 1)"),"State Policy Network_2020")</f>
        <v>State Policy Network_2020</v>
      </c>
      <c r="D1322" s="4" t="s">
        <v>46</v>
      </c>
      <c r="E1322" s="8" t="s">
        <v>265</v>
      </c>
      <c r="F1322" s="6">
        <v>40000</v>
      </c>
      <c r="G1322" s="4">
        <v>2020</v>
      </c>
      <c r="H1322" s="4" t="s">
        <v>361</v>
      </c>
    </row>
    <row r="1323" spans="1:8" ht="15" customHeight="1" x14ac:dyDescent="0.2">
      <c r="A1323" s="4">
        <v>990</v>
      </c>
      <c r="B1323" s="4" t="str">
        <f t="shared" si="5"/>
        <v>State Policy Network_Evergreen Freedom Foundation202040000</v>
      </c>
      <c r="C1323" s="4" t="str">
        <f ca="1">IFERROR(__xludf.DUMMYFUNCTION("ARRAY_CONSTRAIN(ARRAYFORMULA(SINGLE(TEXTJOIN(""_"",TRUE,D1323,G1323))), 1, 1)"),"State Policy Network_2020")</f>
        <v>State Policy Network_2020</v>
      </c>
      <c r="D1323" s="4" t="s">
        <v>46</v>
      </c>
      <c r="E1323" s="4" t="s">
        <v>268</v>
      </c>
      <c r="F1323" s="6">
        <v>40000</v>
      </c>
      <c r="G1323" s="4">
        <v>2020</v>
      </c>
      <c r="H1323" s="4" t="s">
        <v>361</v>
      </c>
    </row>
    <row r="1324" spans="1:8" ht="15" customHeight="1" x14ac:dyDescent="0.2">
      <c r="A1324" s="4">
        <v>990</v>
      </c>
      <c r="B1324" s="4" t="str">
        <f t="shared" si="5"/>
        <v>State Policy Network_Illinois Policy Institute202040000</v>
      </c>
      <c r="C1324" s="4" t="str">
        <f ca="1">IFERROR(__xludf.DUMMYFUNCTION("ARRAY_CONSTRAIN(ARRAYFORMULA(SINGLE(TEXTJOIN(""_"",TRUE,D1324,G1324))), 1, 1)"),"State Policy Network_2020")</f>
        <v>State Policy Network_2020</v>
      </c>
      <c r="D1324" s="4" t="s">
        <v>46</v>
      </c>
      <c r="E1324" s="8" t="s">
        <v>286</v>
      </c>
      <c r="F1324" s="6">
        <v>40000</v>
      </c>
      <c r="G1324" s="4">
        <v>2020</v>
      </c>
      <c r="H1324" s="4" t="s">
        <v>361</v>
      </c>
    </row>
    <row r="1325" spans="1:8" ht="15" customHeight="1" x14ac:dyDescent="0.2">
      <c r="A1325" s="4">
        <v>990</v>
      </c>
      <c r="B1325" s="4" t="str">
        <f t="shared" si="5"/>
        <v>State Policy Network_Liberty Justice Center202035000</v>
      </c>
      <c r="C1325" s="4" t="str">
        <f ca="1">IFERROR(__xludf.DUMMYFUNCTION("ARRAY_CONSTRAIN(ARRAYFORMULA(SINGLE(TEXTJOIN(""_"",TRUE,D1325,G1325))), 1, 1)"),"State Policy Network_2020")</f>
        <v>State Policy Network_2020</v>
      </c>
      <c r="D1325" s="4" t="s">
        <v>46</v>
      </c>
      <c r="E1325" s="8" t="s">
        <v>298</v>
      </c>
      <c r="F1325" s="6">
        <v>35000</v>
      </c>
      <c r="G1325" s="4">
        <v>2020</v>
      </c>
      <c r="H1325" s="4" t="s">
        <v>361</v>
      </c>
    </row>
    <row r="1326" spans="1:8" ht="15" customHeight="1" x14ac:dyDescent="0.2">
      <c r="A1326" s="4">
        <v>990</v>
      </c>
      <c r="B1326" s="4" t="str">
        <f t="shared" si="5"/>
        <v>State Policy Network_James Madison Institute202035000</v>
      </c>
      <c r="C1326" s="4" t="str">
        <f ca="1">IFERROR(__xludf.DUMMYFUNCTION("ARRAY_CONSTRAIN(ARRAYFORMULA(SINGLE(TEXTJOIN(""_"",TRUE,D1326,G1326))), 1, 1)"),"State Policy Network_2020")</f>
        <v>State Policy Network_2020</v>
      </c>
      <c r="D1326" s="4" t="s">
        <v>46</v>
      </c>
      <c r="E1326" s="4" t="s">
        <v>291</v>
      </c>
      <c r="F1326" s="6">
        <v>35000</v>
      </c>
      <c r="G1326" s="4">
        <v>2020</v>
      </c>
      <c r="H1326" s="4" t="s">
        <v>361</v>
      </c>
    </row>
    <row r="1327" spans="1:8" ht="15" customHeight="1" x14ac:dyDescent="0.2">
      <c r="A1327" s="4">
        <v>990</v>
      </c>
      <c r="B1327" s="4" t="str">
        <f t="shared" si="5"/>
        <v>State Policy Network_Idaho Freedom Foundation202030000</v>
      </c>
      <c r="C1327" s="4" t="str">
        <f ca="1">IFERROR(__xludf.DUMMYFUNCTION("ARRAY_CONSTRAIN(ARRAYFORMULA(SINGLE(TEXTJOIN(""_"",TRUE,D1327,G1327))), 1, 1)"),"State Policy Network_2020")</f>
        <v>State Policy Network_2020</v>
      </c>
      <c r="D1327" s="4" t="s">
        <v>46</v>
      </c>
      <c r="E1327" s="8" t="s">
        <v>285</v>
      </c>
      <c r="F1327" s="6">
        <v>30000</v>
      </c>
      <c r="G1327" s="4">
        <v>2020</v>
      </c>
      <c r="H1327" s="4" t="s">
        <v>361</v>
      </c>
    </row>
    <row r="1328" spans="1:8" ht="15" customHeight="1" x14ac:dyDescent="0.2">
      <c r="A1328" s="4">
        <v>990</v>
      </c>
      <c r="B1328" s="4" t="str">
        <f t="shared" si="5"/>
        <v>State Policy Network_Wisconsin Institute for Law &amp; Liberty202030000</v>
      </c>
      <c r="C1328" s="4" t="str">
        <f ca="1">IFERROR(__xludf.DUMMYFUNCTION("ARRAY_CONSTRAIN(ARRAYFORMULA(SINGLE(TEXTJOIN(""_"",TRUE,D1328,G1328))), 1, 1)"),"State Policy Network_2020")</f>
        <v>State Policy Network_2020</v>
      </c>
      <c r="D1328" s="4" t="s">
        <v>46</v>
      </c>
      <c r="E1328" s="8" t="s">
        <v>350</v>
      </c>
      <c r="F1328" s="6">
        <v>30000</v>
      </c>
      <c r="G1328" s="4">
        <v>2020</v>
      </c>
      <c r="H1328" s="4" t="s">
        <v>361</v>
      </c>
    </row>
    <row r="1329" spans="1:8" ht="15" customHeight="1" x14ac:dyDescent="0.2">
      <c r="A1329" s="4">
        <v>990</v>
      </c>
      <c r="B1329" s="4" t="str">
        <f t="shared" si="5"/>
        <v>State Policy Network_Cardinal Institute for West Virginia Policy202029000</v>
      </c>
      <c r="C1329" s="4" t="str">
        <f ca="1">IFERROR(__xludf.DUMMYFUNCTION("ARRAY_CONSTRAIN(ARRAYFORMULA(SINGLE(TEXTJOIN(""_"",TRUE,D1329,G1329))), 1, 1)"),"State Policy Network_2020")</f>
        <v>State Policy Network_2020</v>
      </c>
      <c r="D1329" s="4" t="s">
        <v>46</v>
      </c>
      <c r="E1329" s="8" t="s">
        <v>255</v>
      </c>
      <c r="F1329" s="6">
        <v>29000</v>
      </c>
      <c r="G1329" s="4">
        <v>2020</v>
      </c>
      <c r="H1329" s="4" t="s">
        <v>361</v>
      </c>
    </row>
    <row r="1330" spans="1:8" ht="15" customHeight="1" x14ac:dyDescent="0.2">
      <c r="A1330" s="4">
        <v>990</v>
      </c>
      <c r="B1330" s="4" t="str">
        <f t="shared" si="5"/>
        <v>State Policy Network_Pelican Institute for Public Policy202029000</v>
      </c>
      <c r="C1330" s="4" t="str">
        <f ca="1">IFERROR(__xludf.DUMMYFUNCTION("ARRAY_CONSTRAIN(ARRAYFORMULA(SINGLE(TEXTJOIN(""_"",TRUE,D1330,G1330))), 1, 1)"),"State Policy Network_2020")</f>
        <v>State Policy Network_2020</v>
      </c>
      <c r="D1330" s="4" t="s">
        <v>46</v>
      </c>
      <c r="E1330" s="8" t="s">
        <v>324</v>
      </c>
      <c r="F1330" s="6">
        <v>29000</v>
      </c>
      <c r="G1330" s="4">
        <v>2020</v>
      </c>
      <c r="H1330" s="4" t="s">
        <v>361</v>
      </c>
    </row>
    <row r="1331" spans="1:8" ht="15" customHeight="1" x14ac:dyDescent="0.2">
      <c r="A1331" s="4">
        <v>990</v>
      </c>
      <c r="B1331" s="4" t="str">
        <f t="shared" si="5"/>
        <v>State Policy Network_Garden State Initiative202025000</v>
      </c>
      <c r="C1331" s="4" t="str">
        <f ca="1">IFERROR(__xludf.DUMMYFUNCTION("ARRAY_CONSTRAIN(ARRAYFORMULA(SINGLE(TEXTJOIN(""_"",TRUE,D1331,G1331))), 1, 1)"),"State Policy Network_2020")</f>
        <v>State Policy Network_2020</v>
      </c>
      <c r="D1331" s="4" t="s">
        <v>46</v>
      </c>
      <c r="E1331" s="8" t="s">
        <v>274</v>
      </c>
      <c r="F1331" s="6">
        <v>25000</v>
      </c>
      <c r="G1331" s="4">
        <v>2020</v>
      </c>
      <c r="H1331" s="4" t="s">
        <v>361</v>
      </c>
    </row>
    <row r="1332" spans="1:8" ht="15" customHeight="1" x14ac:dyDescent="0.2">
      <c r="A1332" s="4">
        <v>990</v>
      </c>
      <c r="B1332" s="4" t="str">
        <f t="shared" si="5"/>
        <v>State Policy Network_Platte Institute for Economic Research202025000</v>
      </c>
      <c r="C1332" s="4" t="str">
        <f ca="1">IFERROR(__xludf.DUMMYFUNCTION("ARRAY_CONSTRAIN(ARRAYFORMULA(SINGLE(TEXTJOIN(""_"",TRUE,D1332,G1332))), 1, 1)"),"State Policy Network_2020")</f>
        <v>State Policy Network_2020</v>
      </c>
      <c r="D1332" s="4" t="s">
        <v>46</v>
      </c>
      <c r="E1332" s="8" t="s">
        <v>326</v>
      </c>
      <c r="F1332" s="6">
        <v>25000</v>
      </c>
      <c r="G1332" s="4">
        <v>2020</v>
      </c>
      <c r="H1332" s="4" t="s">
        <v>361</v>
      </c>
    </row>
    <row r="1333" spans="1:8" ht="15" customHeight="1" x14ac:dyDescent="0.2">
      <c r="A1333" s="4">
        <v>990</v>
      </c>
      <c r="B1333" s="4" t="str">
        <f t="shared" si="5"/>
        <v>State Policy Network_Texas Public Policy Foundation202025000</v>
      </c>
      <c r="C1333" s="4" t="str">
        <f ca="1">IFERROR(__xludf.DUMMYFUNCTION("ARRAY_CONSTRAIN(ARRAYFORMULA(SINGLE(TEXTJOIN(""_"",TRUE,D1333,G1333))), 1, 1)"),"State Policy Network_2020")</f>
        <v>State Policy Network_2020</v>
      </c>
      <c r="D1333" s="4" t="s">
        <v>46</v>
      </c>
      <c r="E1333" s="8" t="s">
        <v>342</v>
      </c>
      <c r="F1333" s="6">
        <v>25000</v>
      </c>
      <c r="G1333" s="4">
        <v>2020</v>
      </c>
      <c r="H1333" s="4" t="s">
        <v>361</v>
      </c>
    </row>
    <row r="1334" spans="1:8" ht="15" customHeight="1" x14ac:dyDescent="0.2">
      <c r="A1334" s="4">
        <v>990</v>
      </c>
      <c r="B1334" s="4" t="str">
        <f t="shared" si="5"/>
        <v>State Policy Network_Thomas Jefferson Institute202025000</v>
      </c>
      <c r="C1334" s="4" t="str">
        <f ca="1">IFERROR(__xludf.DUMMYFUNCTION("ARRAY_CONSTRAIN(ARRAYFORMULA(SINGLE(TEXTJOIN(""_"",TRUE,D1334,G1334))), 1, 1)"),"State Policy Network_2020")</f>
        <v>State Policy Network_2020</v>
      </c>
      <c r="D1334" s="4" t="s">
        <v>46</v>
      </c>
      <c r="E1334" s="4" t="s">
        <v>344</v>
      </c>
      <c r="F1334" s="6">
        <v>25000</v>
      </c>
      <c r="G1334" s="4">
        <v>2020</v>
      </c>
      <c r="H1334" s="4" t="s">
        <v>361</v>
      </c>
    </row>
    <row r="1335" spans="1:8" ht="15" customHeight="1" x14ac:dyDescent="0.2">
      <c r="A1335" s="4">
        <v>990</v>
      </c>
      <c r="B1335" s="4" t="str">
        <f t="shared" si="5"/>
        <v>State Policy Network_Bluegrass Institute for Public Policy Solutions202020000</v>
      </c>
      <c r="C1335" s="4" t="str">
        <f ca="1">IFERROR(__xludf.DUMMYFUNCTION("ARRAY_CONSTRAIN(ARRAYFORMULA(SINGLE(TEXTJOIN(""_"",TRUE,D1335,G1335))), 1, 1)"),"State Policy Network_2020")</f>
        <v>State Policy Network_2020</v>
      </c>
      <c r="D1335" s="4" t="s">
        <v>46</v>
      </c>
      <c r="E1335" s="8" t="s">
        <v>251</v>
      </c>
      <c r="F1335" s="6">
        <v>20000</v>
      </c>
      <c r="G1335" s="4">
        <v>2020</v>
      </c>
      <c r="H1335" s="4" t="s">
        <v>361</v>
      </c>
    </row>
    <row r="1336" spans="1:8" ht="15" customHeight="1" x14ac:dyDescent="0.2">
      <c r="A1336" s="4">
        <v>990</v>
      </c>
      <c r="B1336" s="4" t="str">
        <f t="shared" si="5"/>
        <v>State Policy Network_Georgia Public Policy Foundation202020000</v>
      </c>
      <c r="C1336" s="4" t="str">
        <f ca="1">IFERROR(__xludf.DUMMYFUNCTION("ARRAY_CONSTRAIN(ARRAYFORMULA(SINGLE(TEXTJOIN(""_"",TRUE,D1336,G1336))), 1, 1)"),"State Policy Network_2020")</f>
        <v>State Policy Network_2020</v>
      </c>
      <c r="D1336" s="4" t="s">
        <v>46</v>
      </c>
      <c r="E1336" s="8" t="s">
        <v>277</v>
      </c>
      <c r="F1336" s="6">
        <v>20000</v>
      </c>
      <c r="G1336" s="4">
        <v>2020</v>
      </c>
      <c r="H1336" s="4" t="s">
        <v>361</v>
      </c>
    </row>
    <row r="1337" spans="1:8" ht="15" customHeight="1" x14ac:dyDescent="0.2">
      <c r="A1337" s="4">
        <v>990</v>
      </c>
      <c r="B1337" s="4" t="str">
        <f t="shared" si="5"/>
        <v>State Policy Network_Mississippi Center for Public Policy202017500</v>
      </c>
      <c r="C1337" s="4" t="str">
        <f ca="1">IFERROR(__xludf.DUMMYFUNCTION("ARRAY_CONSTRAIN(ARRAYFORMULA(SINGLE(TEXTJOIN(""_"",TRUE,D1337,G1337))), 1, 1)"),"State Policy Network_2020")</f>
        <v>State Policy Network_2020</v>
      </c>
      <c r="D1337" s="4" t="s">
        <v>46</v>
      </c>
      <c r="E1337" s="8" t="s">
        <v>309</v>
      </c>
      <c r="F1337" s="6">
        <v>17500</v>
      </c>
      <c r="G1337" s="4">
        <v>2020</v>
      </c>
      <c r="H1337" s="4" t="s">
        <v>361</v>
      </c>
    </row>
    <row r="1338" spans="1:8" ht="15" customHeight="1" x14ac:dyDescent="0.2">
      <c r="A1338" s="4">
        <v>990</v>
      </c>
      <c r="B1338" s="4" t="str">
        <f t="shared" si="5"/>
        <v>State Policy Network_Association of American Educators Foundation202015000</v>
      </c>
      <c r="C1338" s="4" t="str">
        <f ca="1">IFERROR(__xludf.DUMMYFUNCTION("ARRAY_CONSTRAIN(ARRAYFORMULA(SINGLE(TEXTJOIN(""_"",TRUE,D1338,G1338))), 1, 1)"),"State Policy Network_2020")</f>
        <v>State Policy Network_2020</v>
      </c>
      <c r="D1338" s="4" t="s">
        <v>46</v>
      </c>
      <c r="E1338" s="8" t="s">
        <v>245</v>
      </c>
      <c r="F1338" s="6">
        <v>15000</v>
      </c>
      <c r="G1338" s="4">
        <v>2020</v>
      </c>
      <c r="H1338" s="4" t="s">
        <v>361</v>
      </c>
    </row>
    <row r="1339" spans="1:8" ht="15" customHeight="1" x14ac:dyDescent="0.2">
      <c r="A1339" s="4">
        <v>990</v>
      </c>
      <c r="B1339" s="4" t="str">
        <f t="shared" si="5"/>
        <v>State Policy Network_Commonwealth Foundation for Public Policy Alternatives202015000</v>
      </c>
      <c r="C1339" s="4" t="str">
        <f ca="1">IFERROR(__xludf.DUMMYFUNCTION("ARRAY_CONSTRAIN(ARRAYFORMULA(SINGLE(TEXTJOIN(""_"",TRUE,D1339,G1339))), 1, 1)"),"State Policy Network_2020")</f>
        <v>State Policy Network_2020</v>
      </c>
      <c r="D1339" s="4" t="s">
        <v>46</v>
      </c>
      <c r="E1339" s="4" t="s">
        <v>262</v>
      </c>
      <c r="F1339" s="6">
        <v>15000</v>
      </c>
      <c r="G1339" s="4">
        <v>2020</v>
      </c>
      <c r="H1339" s="4" t="s">
        <v>361</v>
      </c>
    </row>
    <row r="1340" spans="1:8" ht="15" customHeight="1" x14ac:dyDescent="0.2">
      <c r="A1340" s="4">
        <v>990</v>
      </c>
      <c r="B1340" s="4" t="str">
        <f t="shared" si="5"/>
        <v>State Policy Network_Libertas Institute202013000</v>
      </c>
      <c r="C1340" s="4" t="str">
        <f ca="1">IFERROR(__xludf.DUMMYFUNCTION("ARRAY_CONSTRAIN(ARRAYFORMULA(SINGLE(TEXTJOIN(""_"",TRUE,D1340,G1340))), 1, 1)"),"State Policy Network_2020")</f>
        <v>State Policy Network_2020</v>
      </c>
      <c r="D1340" s="4" t="s">
        <v>46</v>
      </c>
      <c r="E1340" s="8" t="s">
        <v>296</v>
      </c>
      <c r="F1340" s="6">
        <v>13000</v>
      </c>
      <c r="G1340" s="4">
        <v>2020</v>
      </c>
      <c r="H1340" s="4" t="s">
        <v>361</v>
      </c>
    </row>
    <row r="1341" spans="1:8" ht="15" customHeight="1" x14ac:dyDescent="0.2">
      <c r="A1341" s="4">
        <v>990</v>
      </c>
      <c r="B1341" s="4" t="str">
        <f t="shared" si="5"/>
        <v>State Policy Network_Alaska Policy Forum201945000</v>
      </c>
      <c r="C1341" s="4" t="str">
        <f ca="1">IFERROR(__xludf.DUMMYFUNCTION("ARRAY_CONSTRAIN(ARRAYFORMULA(SINGLE(TEXTJOIN(""_"",TRUE,D1341,G1341))), 1, 1)"),"State Policy Network_2019")</f>
        <v>State Policy Network_2019</v>
      </c>
      <c r="D1341" s="4" t="s">
        <v>46</v>
      </c>
      <c r="E1341" s="8" t="s">
        <v>236</v>
      </c>
      <c r="F1341" s="6">
        <v>45000</v>
      </c>
      <c r="G1341" s="4">
        <v>2019</v>
      </c>
      <c r="H1341" s="4" t="s">
        <v>361</v>
      </c>
    </row>
    <row r="1342" spans="1:8" ht="15" customHeight="1" x14ac:dyDescent="0.2">
      <c r="A1342" s="4">
        <v>990</v>
      </c>
      <c r="B1342" s="4" t="str">
        <f t="shared" si="5"/>
        <v>State Policy Network_American Culture Foundation / Great Communicators Foundation201970000</v>
      </c>
      <c r="C1342" s="4" t="str">
        <f ca="1">IFERROR(__xludf.DUMMYFUNCTION("ARRAY_CONSTRAIN(ARRAYFORMULA(SINGLE(TEXTJOIN(""_"",TRUE,D1342,G1342))), 1, 1)"),"State Policy Network_2019")</f>
        <v>State Policy Network_2019</v>
      </c>
      <c r="D1342" s="4" t="s">
        <v>46</v>
      </c>
      <c r="E1342" s="8" t="s">
        <v>238</v>
      </c>
      <c r="F1342" s="6">
        <v>70000</v>
      </c>
      <c r="G1342" s="4">
        <v>2019</v>
      </c>
      <c r="H1342" s="4" t="s">
        <v>361</v>
      </c>
    </row>
    <row r="1343" spans="1:8" ht="15" customHeight="1" x14ac:dyDescent="0.2">
      <c r="A1343" s="4">
        <v>990</v>
      </c>
      <c r="B1343" s="4" t="str">
        <f t="shared" si="5"/>
        <v>State Policy Network_Americans for Fair Treatment201960000</v>
      </c>
      <c r="C1343" s="4" t="str">
        <f ca="1">IFERROR(__xludf.DUMMYFUNCTION("ARRAY_CONSTRAIN(ARRAYFORMULA(SINGLE(TEXTJOIN(""_"",TRUE,D1343,G1343))), 1, 1)"),"State Policy Network_2019")</f>
        <v>State Policy Network_2019</v>
      </c>
      <c r="D1343" s="4" t="s">
        <v>46</v>
      </c>
      <c r="E1343" s="8" t="s">
        <v>242</v>
      </c>
      <c r="F1343" s="6">
        <v>60000</v>
      </c>
      <c r="G1343" s="4">
        <v>2019</v>
      </c>
      <c r="H1343" s="4" t="s">
        <v>361</v>
      </c>
    </row>
    <row r="1344" spans="1:8" ht="15" customHeight="1" x14ac:dyDescent="0.2">
      <c r="A1344" s="4">
        <v>990</v>
      </c>
      <c r="B1344" s="4" t="str">
        <f t="shared" si="5"/>
        <v>State Policy Network_Badger Institute201951500</v>
      </c>
      <c r="C1344" s="4" t="str">
        <f ca="1">IFERROR(__xludf.DUMMYFUNCTION("ARRAY_CONSTRAIN(ARRAYFORMULA(SINGLE(TEXTJOIN(""_"",TRUE,D1344,G1344))), 1, 1)"),"State Policy Network_2019")</f>
        <v>State Policy Network_2019</v>
      </c>
      <c r="D1344" s="4" t="s">
        <v>46</v>
      </c>
      <c r="E1344" s="8" t="s">
        <v>247</v>
      </c>
      <c r="F1344" s="6">
        <v>51500</v>
      </c>
      <c r="G1344" s="4">
        <v>2019</v>
      </c>
      <c r="H1344" s="4" t="s">
        <v>361</v>
      </c>
    </row>
    <row r="1345" spans="1:8" ht="15" customHeight="1" x14ac:dyDescent="0.2">
      <c r="A1345" s="4">
        <v>990</v>
      </c>
      <c r="B1345" s="4" t="str">
        <f t="shared" si="5"/>
        <v>State Policy Network_Beacon Center of Tennessee2019107500</v>
      </c>
      <c r="C1345" s="4" t="str">
        <f ca="1">IFERROR(__xludf.DUMMYFUNCTION("ARRAY_CONSTRAIN(ARRAYFORMULA(SINGLE(TEXTJOIN(""_"",TRUE,D1345,G1345))), 1, 1)"),"State Policy Network_2019")</f>
        <v>State Policy Network_2019</v>
      </c>
      <c r="D1345" s="4" t="s">
        <v>46</v>
      </c>
      <c r="E1345" s="8" t="s">
        <v>249</v>
      </c>
      <c r="F1345" s="6">
        <v>107500</v>
      </c>
      <c r="G1345" s="4">
        <v>2019</v>
      </c>
      <c r="H1345" s="4" t="s">
        <v>361</v>
      </c>
    </row>
    <row r="1346" spans="1:8" ht="15" customHeight="1" x14ac:dyDescent="0.2">
      <c r="A1346" s="4">
        <v>990</v>
      </c>
      <c r="B1346" s="4" t="str">
        <f t="shared" si="5"/>
        <v>State Policy Network_Bluegrass Institute for Public Policy Solutions201920000</v>
      </c>
      <c r="C1346" s="4" t="str">
        <f ca="1">IFERROR(__xludf.DUMMYFUNCTION("ARRAY_CONSTRAIN(ARRAYFORMULA(SINGLE(TEXTJOIN(""_"",TRUE,D1346,G1346))), 1, 1)"),"State Policy Network_2019")</f>
        <v>State Policy Network_2019</v>
      </c>
      <c r="D1346" s="4" t="s">
        <v>46</v>
      </c>
      <c r="E1346" s="8" t="s">
        <v>251</v>
      </c>
      <c r="F1346" s="6">
        <v>20000</v>
      </c>
      <c r="G1346" s="4">
        <v>2019</v>
      </c>
      <c r="H1346" s="4" t="s">
        <v>361</v>
      </c>
    </row>
    <row r="1347" spans="1:8" ht="15" customHeight="1" x14ac:dyDescent="0.2">
      <c r="A1347" s="4">
        <v>990</v>
      </c>
      <c r="B1347" s="4" t="str">
        <f t="shared" si="5"/>
        <v>State Policy Network_Buckeye Institute for Public Policy Solutions201950000</v>
      </c>
      <c r="C1347" s="4" t="str">
        <f ca="1">IFERROR(__xludf.DUMMYFUNCTION("ARRAY_CONSTRAIN(ARRAYFORMULA(SINGLE(TEXTJOIN(""_"",TRUE,D1347,G1347))), 1, 1)"),"State Policy Network_2019")</f>
        <v>State Policy Network_2019</v>
      </c>
      <c r="D1347" s="4" t="s">
        <v>46</v>
      </c>
      <c r="E1347" s="4" t="s">
        <v>252</v>
      </c>
      <c r="F1347" s="6">
        <v>50000</v>
      </c>
      <c r="G1347" s="4">
        <v>2019</v>
      </c>
      <c r="H1347" s="4" t="s">
        <v>361</v>
      </c>
    </row>
    <row r="1348" spans="1:8" ht="15" customHeight="1" x14ac:dyDescent="0.2">
      <c r="A1348" s="4">
        <v>990</v>
      </c>
      <c r="B1348" s="4" t="str">
        <f t="shared" si="5"/>
        <v>State Policy Network_California Policy Center2019139400</v>
      </c>
      <c r="C1348" s="4" t="str">
        <f ca="1">IFERROR(__xludf.DUMMYFUNCTION("ARRAY_CONSTRAIN(ARRAYFORMULA(SINGLE(TEXTJOIN(""_"",TRUE,D1348,G1348))), 1, 1)"),"State Policy Network_2019")</f>
        <v>State Policy Network_2019</v>
      </c>
      <c r="D1348" s="4" t="s">
        <v>46</v>
      </c>
      <c r="E1348" s="8" t="s">
        <v>254</v>
      </c>
      <c r="F1348" s="6">
        <v>139400</v>
      </c>
      <c r="G1348" s="4">
        <v>2019</v>
      </c>
      <c r="H1348" s="4" t="s">
        <v>361</v>
      </c>
    </row>
    <row r="1349" spans="1:8" ht="15" customHeight="1" x14ac:dyDescent="0.2">
      <c r="A1349" s="4">
        <v>990</v>
      </c>
      <c r="B1349" s="4" t="str">
        <f t="shared" si="5"/>
        <v>State Policy Network_Cardinal Institute for West Virginia Policy201946400</v>
      </c>
      <c r="C1349" s="4" t="str">
        <f ca="1">IFERROR(__xludf.DUMMYFUNCTION("ARRAY_CONSTRAIN(ARRAYFORMULA(SINGLE(TEXTJOIN(""_"",TRUE,D1349,G1349))), 1, 1)"),"State Policy Network_2019")</f>
        <v>State Policy Network_2019</v>
      </c>
      <c r="D1349" s="4" t="s">
        <v>46</v>
      </c>
      <c r="E1349" s="8" t="s">
        <v>255</v>
      </c>
      <c r="F1349" s="6">
        <v>46400</v>
      </c>
      <c r="G1349" s="4">
        <v>2019</v>
      </c>
      <c r="H1349" s="4" t="s">
        <v>361</v>
      </c>
    </row>
    <row r="1350" spans="1:8" ht="15" customHeight="1" x14ac:dyDescent="0.2">
      <c r="A1350" s="4">
        <v>990</v>
      </c>
      <c r="B1350" s="4" t="str">
        <f t="shared" si="5"/>
        <v>State Policy Network_Cascade Policy Institute201938500</v>
      </c>
      <c r="C1350" s="4" t="str">
        <f ca="1">IFERROR(__xludf.DUMMYFUNCTION("ARRAY_CONSTRAIN(ARRAYFORMULA(SINGLE(TEXTJOIN(""_"",TRUE,D1350,G1350))), 1, 1)"),"State Policy Network_2019")</f>
        <v>State Policy Network_2019</v>
      </c>
      <c r="D1350" s="4" t="s">
        <v>46</v>
      </c>
      <c r="E1350" s="8" t="s">
        <v>256</v>
      </c>
      <c r="F1350" s="6">
        <v>38500</v>
      </c>
      <c r="G1350" s="4">
        <v>2019</v>
      </c>
      <c r="H1350" s="4" t="s">
        <v>361</v>
      </c>
    </row>
    <row r="1351" spans="1:8" ht="15" customHeight="1" x14ac:dyDescent="0.2">
      <c r="A1351" s="4">
        <v>990</v>
      </c>
      <c r="B1351" s="4" t="str">
        <f t="shared" si="5"/>
        <v>State Policy Network_Center for Independent Employees201935000</v>
      </c>
      <c r="C1351" s="4" t="str">
        <f ca="1">IFERROR(__xludf.DUMMYFUNCTION("ARRAY_CONSTRAIN(ARRAYFORMULA(SINGLE(TEXTJOIN(""_"",TRUE,D1351,G1351))), 1, 1)"),"State Policy Network_2019")</f>
        <v>State Policy Network_2019</v>
      </c>
      <c r="D1351" s="4" t="s">
        <v>46</v>
      </c>
      <c r="E1351" s="8" t="s">
        <v>189</v>
      </c>
      <c r="F1351" s="6">
        <v>35000</v>
      </c>
      <c r="G1351" s="4">
        <v>2019</v>
      </c>
      <c r="H1351" s="4" t="s">
        <v>361</v>
      </c>
    </row>
    <row r="1352" spans="1:8" ht="15" customHeight="1" x14ac:dyDescent="0.2">
      <c r="A1352" s="4">
        <v>990</v>
      </c>
      <c r="B1352" s="4" t="str">
        <f t="shared" si="5"/>
        <v>State Policy Network_Commonwealth Foundation for Public Policy Alternatives2019112500</v>
      </c>
      <c r="C1352" s="4" t="str">
        <f ca="1">IFERROR(__xludf.DUMMYFUNCTION("ARRAY_CONSTRAIN(ARRAYFORMULA(SINGLE(TEXTJOIN(""_"",TRUE,D1352,G1352))), 1, 1)"),"State Policy Network_2019")</f>
        <v>State Policy Network_2019</v>
      </c>
      <c r="D1352" s="4" t="s">
        <v>46</v>
      </c>
      <c r="E1352" s="4" t="s">
        <v>262</v>
      </c>
      <c r="F1352" s="6">
        <v>112500</v>
      </c>
      <c r="G1352" s="4">
        <v>2019</v>
      </c>
      <c r="H1352" s="4" t="s">
        <v>361</v>
      </c>
    </row>
    <row r="1353" spans="1:8" ht="15" customHeight="1" x14ac:dyDescent="0.2">
      <c r="A1353" s="4">
        <v>990</v>
      </c>
      <c r="B1353" s="4" t="str">
        <f t="shared" si="5"/>
        <v>State Policy Network_Empire Center for Public Policy2019141150</v>
      </c>
      <c r="C1353" s="4" t="str">
        <f ca="1">IFERROR(__xludf.DUMMYFUNCTION("ARRAY_CONSTRAIN(ARRAYFORMULA(SINGLE(TEXTJOIN(""_"",TRUE,D1353,G1353))), 1, 1)"),"State Policy Network_2019")</f>
        <v>State Policy Network_2019</v>
      </c>
      <c r="D1353" s="4" t="s">
        <v>46</v>
      </c>
      <c r="E1353" s="8" t="s">
        <v>264</v>
      </c>
      <c r="F1353" s="6">
        <v>141150</v>
      </c>
      <c r="G1353" s="4">
        <v>2019</v>
      </c>
      <c r="H1353" s="4" t="s">
        <v>361</v>
      </c>
    </row>
    <row r="1354" spans="1:8" ht="15" customHeight="1" x14ac:dyDescent="0.2">
      <c r="A1354" s="4">
        <v>990</v>
      </c>
      <c r="B1354" s="4" t="str">
        <f t="shared" si="5"/>
        <v>State Policy Network_Evergreen Freedom Foundation201960000</v>
      </c>
      <c r="C1354" s="4" t="str">
        <f ca="1">IFERROR(__xludf.DUMMYFUNCTION("ARRAY_CONSTRAIN(ARRAYFORMULA(SINGLE(TEXTJOIN(""_"",TRUE,D1354,G1354))), 1, 1)"),"State Policy Network_2019")</f>
        <v>State Policy Network_2019</v>
      </c>
      <c r="D1354" s="4" t="s">
        <v>46</v>
      </c>
      <c r="E1354" s="4" t="s">
        <v>268</v>
      </c>
      <c r="F1354" s="6">
        <v>60000</v>
      </c>
      <c r="G1354" s="4">
        <v>2019</v>
      </c>
      <c r="H1354" s="4" t="s">
        <v>361</v>
      </c>
    </row>
    <row r="1355" spans="1:8" ht="15" customHeight="1" x14ac:dyDescent="0.2">
      <c r="A1355" s="4">
        <v>990</v>
      </c>
      <c r="B1355" s="4" t="str">
        <f t="shared" si="5"/>
        <v>State Policy Network_Georgia Center for Opportunity201946400</v>
      </c>
      <c r="C1355" s="4" t="str">
        <f ca="1">IFERROR(__xludf.DUMMYFUNCTION("ARRAY_CONSTRAIN(ARRAYFORMULA(SINGLE(TEXTJOIN(""_"",TRUE,D1355,G1355))), 1, 1)"),"State Policy Network_2019")</f>
        <v>State Policy Network_2019</v>
      </c>
      <c r="D1355" s="4" t="s">
        <v>46</v>
      </c>
      <c r="E1355" s="8" t="s">
        <v>275</v>
      </c>
      <c r="F1355" s="6">
        <v>46400</v>
      </c>
      <c r="G1355" s="4">
        <v>2019</v>
      </c>
      <c r="H1355" s="4" t="s">
        <v>361</v>
      </c>
    </row>
    <row r="1356" spans="1:8" ht="15" customHeight="1" x14ac:dyDescent="0.2">
      <c r="A1356" s="4">
        <v>990</v>
      </c>
      <c r="B1356" s="4" t="str">
        <f t="shared" si="5"/>
        <v>State Policy Network_Georgia Public Policy Foundation201925000</v>
      </c>
      <c r="C1356" s="4" t="str">
        <f ca="1">IFERROR(__xludf.DUMMYFUNCTION("ARRAY_CONSTRAIN(ARRAYFORMULA(SINGLE(TEXTJOIN(""_"",TRUE,D1356,G1356))), 1, 1)"),"State Policy Network_2019")</f>
        <v>State Policy Network_2019</v>
      </c>
      <c r="D1356" s="4" t="s">
        <v>46</v>
      </c>
      <c r="E1356" s="8" t="s">
        <v>277</v>
      </c>
      <c r="F1356" s="6">
        <v>25000</v>
      </c>
      <c r="G1356" s="4">
        <v>2019</v>
      </c>
      <c r="H1356" s="4" t="s">
        <v>361</v>
      </c>
    </row>
    <row r="1357" spans="1:8" ht="15" customHeight="1" x14ac:dyDescent="0.2">
      <c r="A1357" s="4">
        <v>990</v>
      </c>
      <c r="B1357" s="4" t="str">
        <f t="shared" si="5"/>
        <v>State Policy Network_Goldwater Institute for Public Policy201950000</v>
      </c>
      <c r="C1357" s="4" t="str">
        <f ca="1">IFERROR(__xludf.DUMMYFUNCTION("ARRAY_CONSTRAIN(ARRAYFORMULA(SINGLE(TEXTJOIN(""_"",TRUE,D1357,G1357))), 1, 1)"),"State Policy Network_2019")</f>
        <v>State Policy Network_2019</v>
      </c>
      <c r="D1357" s="4" t="s">
        <v>46</v>
      </c>
      <c r="E1357" s="8" t="s">
        <v>278</v>
      </c>
      <c r="F1357" s="6">
        <v>50000</v>
      </c>
      <c r="G1357" s="4">
        <v>2019</v>
      </c>
      <c r="H1357" s="4" t="s">
        <v>361</v>
      </c>
    </row>
    <row r="1358" spans="1:8" ht="15" customHeight="1" x14ac:dyDescent="0.2">
      <c r="A1358" s="4">
        <v>990</v>
      </c>
      <c r="B1358" s="4" t="str">
        <f t="shared" si="5"/>
        <v>State Policy Network_Grassroots Institute of Hawaii201946400</v>
      </c>
      <c r="C1358" s="4" t="str">
        <f ca="1">IFERROR(__xludf.DUMMYFUNCTION("ARRAY_CONSTRAIN(ARRAYFORMULA(SINGLE(TEXTJOIN(""_"",TRUE,D1358,G1358))), 1, 1)"),"State Policy Network_2019")</f>
        <v>State Policy Network_2019</v>
      </c>
      <c r="D1358" s="4" t="s">
        <v>46</v>
      </c>
      <c r="E1358" s="8" t="s">
        <v>280</v>
      </c>
      <c r="F1358" s="6">
        <v>46400</v>
      </c>
      <c r="G1358" s="4">
        <v>2019</v>
      </c>
      <c r="H1358" s="4" t="s">
        <v>361</v>
      </c>
    </row>
    <row r="1359" spans="1:8" ht="15" customHeight="1" x14ac:dyDescent="0.2">
      <c r="A1359" s="4">
        <v>990</v>
      </c>
      <c r="B1359" s="4" t="str">
        <f t="shared" si="5"/>
        <v>State Policy Network_Illinois Policy Institute2019110000</v>
      </c>
      <c r="C1359" s="4" t="str">
        <f ca="1">IFERROR(__xludf.DUMMYFUNCTION("ARRAY_CONSTRAIN(ARRAYFORMULA(SINGLE(TEXTJOIN(""_"",TRUE,D1359,G1359))), 1, 1)"),"State Policy Network_2019")</f>
        <v>State Policy Network_2019</v>
      </c>
      <c r="D1359" s="4" t="s">
        <v>46</v>
      </c>
      <c r="E1359" s="8" t="s">
        <v>286</v>
      </c>
      <c r="F1359" s="6">
        <v>110000</v>
      </c>
      <c r="G1359" s="4">
        <v>2019</v>
      </c>
      <c r="H1359" s="4" t="s">
        <v>361</v>
      </c>
    </row>
    <row r="1360" spans="1:8" ht="15" customHeight="1" x14ac:dyDescent="0.2">
      <c r="A1360" s="4">
        <v>990</v>
      </c>
      <c r="B1360" s="4" t="str">
        <f t="shared" si="5"/>
        <v>State Policy Network_James Madison Institute201983500</v>
      </c>
      <c r="C1360" s="4" t="str">
        <f ca="1">IFERROR(__xludf.DUMMYFUNCTION("ARRAY_CONSTRAIN(ARRAYFORMULA(SINGLE(TEXTJOIN(""_"",TRUE,D1360,G1360))), 1, 1)"),"State Policy Network_2019")</f>
        <v>State Policy Network_2019</v>
      </c>
      <c r="D1360" s="4" t="s">
        <v>46</v>
      </c>
      <c r="E1360" s="4" t="s">
        <v>291</v>
      </c>
      <c r="F1360" s="6">
        <v>83500</v>
      </c>
      <c r="G1360" s="4">
        <v>2019</v>
      </c>
      <c r="H1360" s="4" t="s">
        <v>361</v>
      </c>
    </row>
    <row r="1361" spans="1:8" ht="15" customHeight="1" x14ac:dyDescent="0.2">
      <c r="A1361" s="4">
        <v>990</v>
      </c>
      <c r="B1361" s="4" t="str">
        <f t="shared" si="5"/>
        <v>State Policy Network_Kansas Policy Institute201940000</v>
      </c>
      <c r="C1361" s="4" t="str">
        <f ca="1">IFERROR(__xludf.DUMMYFUNCTION("ARRAY_CONSTRAIN(ARRAYFORMULA(SINGLE(TEXTJOIN(""_"",TRUE,D1361,G1361))), 1, 1)"),"State Policy Network_2019")</f>
        <v>State Policy Network_2019</v>
      </c>
      <c r="D1361" s="4" t="s">
        <v>46</v>
      </c>
      <c r="E1361" s="8" t="s">
        <v>295</v>
      </c>
      <c r="F1361" s="6">
        <v>40000</v>
      </c>
      <c r="G1361" s="4">
        <v>2019</v>
      </c>
      <c r="H1361" s="4" t="s">
        <v>361</v>
      </c>
    </row>
    <row r="1362" spans="1:8" ht="15" customHeight="1" x14ac:dyDescent="0.2">
      <c r="A1362" s="4">
        <v>990</v>
      </c>
      <c r="B1362" s="4" t="str">
        <f t="shared" si="5"/>
        <v>State Policy Network_Liberty Justice Center201960000</v>
      </c>
      <c r="C1362" s="4" t="str">
        <f ca="1">IFERROR(__xludf.DUMMYFUNCTION("ARRAY_CONSTRAIN(ARRAYFORMULA(SINGLE(TEXTJOIN(""_"",TRUE,D1362,G1362))), 1, 1)"),"State Policy Network_2019")</f>
        <v>State Policy Network_2019</v>
      </c>
      <c r="D1362" s="4" t="s">
        <v>46</v>
      </c>
      <c r="E1362" s="8" t="s">
        <v>298</v>
      </c>
      <c r="F1362" s="6">
        <v>60000</v>
      </c>
      <c r="G1362" s="4">
        <v>2019</v>
      </c>
      <c r="H1362" s="4" t="s">
        <v>361</v>
      </c>
    </row>
    <row r="1363" spans="1:8" ht="15" customHeight="1" x14ac:dyDescent="0.2">
      <c r="A1363" s="4">
        <v>990</v>
      </c>
      <c r="B1363" s="4" t="str">
        <f t="shared" si="5"/>
        <v>State Policy Network_Lucy Burns Institute201918500</v>
      </c>
      <c r="C1363" s="4" t="str">
        <f ca="1">IFERROR(__xludf.DUMMYFUNCTION("ARRAY_CONSTRAIN(ARRAYFORMULA(SINGLE(TEXTJOIN(""_"",TRUE,D1363,G1363))), 1, 1)"),"State Policy Network_2019")</f>
        <v>State Policy Network_2019</v>
      </c>
      <c r="D1363" s="4" t="s">
        <v>46</v>
      </c>
      <c r="E1363" s="8" t="s">
        <v>301</v>
      </c>
      <c r="F1363" s="6">
        <v>18500</v>
      </c>
      <c r="G1363" s="4">
        <v>2019</v>
      </c>
      <c r="H1363" s="4" t="s">
        <v>361</v>
      </c>
    </row>
    <row r="1364" spans="1:8" ht="15" customHeight="1" x14ac:dyDescent="0.2">
      <c r="A1364" s="4">
        <v>990</v>
      </c>
      <c r="B1364" s="4" t="str">
        <f t="shared" si="5"/>
        <v>State Policy Network_Mackinac Center for Public Policy201952000</v>
      </c>
      <c r="C1364" s="4" t="str">
        <f ca="1">IFERROR(__xludf.DUMMYFUNCTION("ARRAY_CONSTRAIN(ARRAYFORMULA(SINGLE(TEXTJOIN(""_"",TRUE,D1364,G1364))), 1, 1)"),"State Policy Network_2019")</f>
        <v>State Policy Network_2019</v>
      </c>
      <c r="D1364" s="4" t="s">
        <v>46</v>
      </c>
      <c r="E1364" s="8" t="s">
        <v>303</v>
      </c>
      <c r="F1364" s="6">
        <v>52000</v>
      </c>
      <c r="G1364" s="4">
        <v>2019</v>
      </c>
      <c r="H1364" s="4" t="s">
        <v>361</v>
      </c>
    </row>
    <row r="1365" spans="1:8" ht="15" customHeight="1" x14ac:dyDescent="0.2">
      <c r="A1365" s="4">
        <v>990</v>
      </c>
      <c r="B1365" s="4" t="str">
        <f t="shared" si="5"/>
        <v>State Policy Network_Maine Heritage Policy Center201940000</v>
      </c>
      <c r="C1365" s="4" t="str">
        <f ca="1">IFERROR(__xludf.DUMMYFUNCTION("ARRAY_CONSTRAIN(ARRAYFORMULA(SINGLE(TEXTJOIN(""_"",TRUE,D1365,G1365))), 1, 1)"),"State Policy Network_2019")</f>
        <v>State Policy Network_2019</v>
      </c>
      <c r="D1365" s="4" t="s">
        <v>46</v>
      </c>
      <c r="E1365" s="4" t="s">
        <v>305</v>
      </c>
      <c r="F1365" s="6">
        <v>40000</v>
      </c>
      <c r="G1365" s="4">
        <v>2019</v>
      </c>
      <c r="H1365" s="4" t="s">
        <v>361</v>
      </c>
    </row>
    <row r="1366" spans="1:8" ht="15" customHeight="1" x14ac:dyDescent="0.2">
      <c r="A1366" s="4">
        <v>990</v>
      </c>
      <c r="B1366" s="4" t="str">
        <f t="shared" si="5"/>
        <v>State Policy Network_Mississippi Center for Public Policy201925400</v>
      </c>
      <c r="C1366" s="4" t="str">
        <f ca="1">IFERROR(__xludf.DUMMYFUNCTION("ARRAY_CONSTRAIN(ARRAYFORMULA(SINGLE(TEXTJOIN(""_"",TRUE,D1366,G1366))), 1, 1)"),"State Policy Network_2019")</f>
        <v>State Policy Network_2019</v>
      </c>
      <c r="D1366" s="4" t="s">
        <v>46</v>
      </c>
      <c r="E1366" s="8" t="s">
        <v>309</v>
      </c>
      <c r="F1366" s="6">
        <v>25400</v>
      </c>
      <c r="G1366" s="4">
        <v>2019</v>
      </c>
      <c r="H1366" s="4" t="s">
        <v>361</v>
      </c>
    </row>
    <row r="1367" spans="1:8" ht="15" customHeight="1" x14ac:dyDescent="0.2">
      <c r="A1367" s="4">
        <v>990</v>
      </c>
      <c r="B1367" s="4" t="str">
        <f t="shared" si="5"/>
        <v>State Policy Network_Nevada Policy Research Institute201925000</v>
      </c>
      <c r="C1367" s="4" t="str">
        <f ca="1">IFERROR(__xludf.DUMMYFUNCTION("ARRAY_CONSTRAIN(ARRAYFORMULA(SINGLE(TEXTJOIN(""_"",TRUE,D1367,G1367))), 1, 1)"),"State Policy Network_2019")</f>
        <v>State Policy Network_2019</v>
      </c>
      <c r="D1367" s="4" t="s">
        <v>46</v>
      </c>
      <c r="E1367" s="8" t="s">
        <v>312</v>
      </c>
      <c r="F1367" s="6">
        <v>25000</v>
      </c>
      <c r="G1367" s="4">
        <v>2019</v>
      </c>
      <c r="H1367" s="4" t="s">
        <v>361</v>
      </c>
    </row>
    <row r="1368" spans="1:8" ht="15" customHeight="1" x14ac:dyDescent="0.2">
      <c r="A1368" s="4">
        <v>990</v>
      </c>
      <c r="B1368" s="4" t="str">
        <f t="shared" si="5"/>
        <v>State Policy Network_Oklahoma Council of Public Affairs201960000</v>
      </c>
      <c r="C1368" s="4" t="str">
        <f ca="1">IFERROR(__xludf.DUMMYFUNCTION("ARRAY_CONSTRAIN(ARRAYFORMULA(SINGLE(TEXTJOIN(""_"",TRUE,D1368,G1368))), 1, 1)"),"State Policy Network_2019")</f>
        <v>State Policy Network_2019</v>
      </c>
      <c r="D1368" s="4" t="s">
        <v>46</v>
      </c>
      <c r="E1368" s="8" t="s">
        <v>315</v>
      </c>
      <c r="F1368" s="6">
        <v>60000</v>
      </c>
      <c r="G1368" s="4">
        <v>2019</v>
      </c>
      <c r="H1368" s="4" t="s">
        <v>361</v>
      </c>
    </row>
    <row r="1369" spans="1:8" ht="15" customHeight="1" x14ac:dyDescent="0.2">
      <c r="A1369" s="4">
        <v>990</v>
      </c>
      <c r="B1369" s="4" t="str">
        <f t="shared" si="5"/>
        <v>State Policy Network_Palmetto Promise Institute201935000</v>
      </c>
      <c r="C1369" s="4" t="str">
        <f ca="1">IFERROR(__xludf.DUMMYFUNCTION("ARRAY_CONSTRAIN(ARRAYFORMULA(SINGLE(TEXTJOIN(""_"",TRUE,D1369,G1369))), 1, 1)"),"State Policy Network_2019")</f>
        <v>State Policy Network_2019</v>
      </c>
      <c r="D1369" s="4" t="s">
        <v>46</v>
      </c>
      <c r="E1369" s="8" t="s">
        <v>322</v>
      </c>
      <c r="F1369" s="6">
        <v>35000</v>
      </c>
      <c r="G1369" s="4">
        <v>2019</v>
      </c>
      <c r="H1369" s="4" t="s">
        <v>361</v>
      </c>
    </row>
    <row r="1370" spans="1:8" ht="15" customHeight="1" x14ac:dyDescent="0.2">
      <c r="A1370" s="4">
        <v>990</v>
      </c>
      <c r="B1370" s="4" t="str">
        <f t="shared" si="5"/>
        <v>State Policy Network_Pelican Institute for Public Policy201950000</v>
      </c>
      <c r="C1370" s="4" t="str">
        <f ca="1">IFERROR(__xludf.DUMMYFUNCTION("ARRAY_CONSTRAIN(ARRAYFORMULA(SINGLE(TEXTJOIN(""_"",TRUE,D1370,G1370))), 1, 1)"),"State Policy Network_2019")</f>
        <v>State Policy Network_2019</v>
      </c>
      <c r="D1370" s="4" t="s">
        <v>46</v>
      </c>
      <c r="E1370" s="8" t="s">
        <v>324</v>
      </c>
      <c r="F1370" s="6">
        <v>50000</v>
      </c>
      <c r="G1370" s="4">
        <v>2019</v>
      </c>
      <c r="H1370" s="4" t="s">
        <v>361</v>
      </c>
    </row>
    <row r="1371" spans="1:8" ht="15" customHeight="1" x14ac:dyDescent="0.2">
      <c r="A1371" s="4">
        <v>990</v>
      </c>
      <c r="B1371" s="4" t="str">
        <f t="shared" si="5"/>
        <v>State Policy Network_People United for Privacy Foundation2019616718</v>
      </c>
      <c r="C1371" s="4" t="str">
        <f ca="1">IFERROR(__xludf.DUMMYFUNCTION("ARRAY_CONSTRAIN(ARRAYFORMULA(SINGLE(TEXTJOIN(""_"",TRUE,D1371,G1371))), 1, 1)"),"State Policy Network_2019")</f>
        <v>State Policy Network_2019</v>
      </c>
      <c r="D1371" s="4" t="s">
        <v>46</v>
      </c>
      <c r="E1371" s="8" t="s">
        <v>90</v>
      </c>
      <c r="F1371" s="6">
        <v>616718</v>
      </c>
      <c r="G1371" s="4">
        <v>2019</v>
      </c>
      <c r="H1371" s="4" t="s">
        <v>361</v>
      </c>
    </row>
    <row r="1372" spans="1:8" ht="15" customHeight="1" x14ac:dyDescent="0.2">
      <c r="A1372" s="4">
        <v>990</v>
      </c>
      <c r="B1372" s="4" t="str">
        <f t="shared" si="5"/>
        <v>State Policy Network_Rhode Island Center for Freedom and Prosperity20198500</v>
      </c>
      <c r="C1372" s="4" t="str">
        <f ca="1">IFERROR(__xludf.DUMMYFUNCTION("ARRAY_CONSTRAIN(ARRAYFORMULA(SINGLE(TEXTJOIN(""_"",TRUE,D1372,G1372))), 1, 1)"),"State Policy Network_2019")</f>
        <v>State Policy Network_2019</v>
      </c>
      <c r="D1372" s="4" t="s">
        <v>46</v>
      </c>
      <c r="E1372" s="4" t="s">
        <v>330</v>
      </c>
      <c r="F1372" s="6">
        <v>8500</v>
      </c>
      <c r="G1372" s="4">
        <v>2019</v>
      </c>
      <c r="H1372" s="4" t="s">
        <v>361</v>
      </c>
    </row>
    <row r="1373" spans="1:8" ht="15" customHeight="1" x14ac:dyDescent="0.2">
      <c r="A1373" s="4">
        <v>990</v>
      </c>
      <c r="B1373" s="4" t="str">
        <f t="shared" si="5"/>
        <v>State Policy Network_Sutherland Institute201910300</v>
      </c>
      <c r="C1373" s="4" t="str">
        <f ca="1">IFERROR(__xludf.DUMMYFUNCTION("ARRAY_CONSTRAIN(ARRAYFORMULA(SINGLE(TEXTJOIN(""_"",TRUE,D1373,G1373))), 1, 1)"),"State Policy Network_2019")</f>
        <v>State Policy Network_2019</v>
      </c>
      <c r="D1373" s="4" t="s">
        <v>46</v>
      </c>
      <c r="E1373" s="8" t="s">
        <v>337</v>
      </c>
      <c r="F1373" s="6">
        <v>10300</v>
      </c>
      <c r="G1373" s="4">
        <v>2019</v>
      </c>
      <c r="H1373" s="4" t="s">
        <v>361</v>
      </c>
    </row>
    <row r="1374" spans="1:8" ht="15" customHeight="1" x14ac:dyDescent="0.2">
      <c r="A1374" s="4">
        <v>990</v>
      </c>
      <c r="B1374" s="4" t="str">
        <f t="shared" si="5"/>
        <v>State Policy Network_Tax Education Foundation Iowa20198000</v>
      </c>
      <c r="C1374" s="4" t="str">
        <f ca="1">IFERROR(__xludf.DUMMYFUNCTION("ARRAY_CONSTRAIN(ARRAYFORMULA(SINGLE(TEXTJOIN(""_"",TRUE,D1374,G1374))), 1, 1)"),"State Policy Network_2019")</f>
        <v>State Policy Network_2019</v>
      </c>
      <c r="D1374" s="4" t="s">
        <v>46</v>
      </c>
      <c r="E1374" s="8" t="s">
        <v>339</v>
      </c>
      <c r="F1374" s="6">
        <v>8000</v>
      </c>
      <c r="G1374" s="4">
        <v>2019</v>
      </c>
      <c r="H1374" s="4" t="s">
        <v>361</v>
      </c>
    </row>
    <row r="1375" spans="1:8" ht="15" customHeight="1" x14ac:dyDescent="0.2">
      <c r="A1375" s="4">
        <v>990</v>
      </c>
      <c r="B1375" s="4" t="str">
        <f t="shared" si="5"/>
        <v>State Policy Network_Thomas Jefferson Institute201940000</v>
      </c>
      <c r="C1375" s="4" t="str">
        <f ca="1">IFERROR(__xludf.DUMMYFUNCTION("ARRAY_CONSTRAIN(ARRAYFORMULA(SINGLE(TEXTJOIN(""_"",TRUE,D1375,G1375))), 1, 1)"),"State Policy Network_2019")</f>
        <v>State Policy Network_2019</v>
      </c>
      <c r="D1375" s="4" t="s">
        <v>46</v>
      </c>
      <c r="E1375" s="4" t="s">
        <v>344</v>
      </c>
      <c r="F1375" s="6">
        <v>40000</v>
      </c>
      <c r="G1375" s="4">
        <v>2019</v>
      </c>
      <c r="H1375" s="4" t="s">
        <v>361</v>
      </c>
    </row>
    <row r="1376" spans="1:8" ht="15" customHeight="1" x14ac:dyDescent="0.2">
      <c r="A1376" s="4">
        <v>990</v>
      </c>
      <c r="B1376" s="4" t="str">
        <f t="shared" si="5"/>
        <v>State Policy Network_Washington Policy Center201930000</v>
      </c>
      <c r="C1376" s="4" t="str">
        <f ca="1">IFERROR(__xludf.DUMMYFUNCTION("ARRAY_CONSTRAIN(ARRAYFORMULA(SINGLE(TEXTJOIN(""_"",TRUE,D1376,G1376))), 1, 1)"),"State Policy Network_2019")</f>
        <v>State Policy Network_2019</v>
      </c>
      <c r="D1376" s="4" t="s">
        <v>46</v>
      </c>
      <c r="E1376" s="8" t="s">
        <v>348</v>
      </c>
      <c r="F1376" s="6">
        <v>30000</v>
      </c>
      <c r="G1376" s="4">
        <v>2019</v>
      </c>
      <c r="H1376" s="4" t="s">
        <v>361</v>
      </c>
    </row>
    <row r="1377" spans="1:11" ht="15" customHeight="1" x14ac:dyDescent="0.2">
      <c r="A1377" s="4">
        <v>990</v>
      </c>
      <c r="B1377" s="4" t="str">
        <f t="shared" si="5"/>
        <v>State Policy Network_Wisconsin Institute for Law &amp; Liberty201940000</v>
      </c>
      <c r="C1377" s="4" t="str">
        <f ca="1">IFERROR(__xludf.DUMMYFUNCTION("ARRAY_CONSTRAIN(ARRAYFORMULA(SINGLE(TEXTJOIN(""_"",TRUE,D1377,G1377))), 1, 1)"),"State Policy Network_2019")</f>
        <v>State Policy Network_2019</v>
      </c>
      <c r="D1377" s="4" t="s">
        <v>46</v>
      </c>
      <c r="E1377" s="8" t="s">
        <v>350</v>
      </c>
      <c r="F1377" s="6">
        <v>40000</v>
      </c>
      <c r="G1377" s="4">
        <v>2019</v>
      </c>
      <c r="H1377" s="4" t="s">
        <v>361</v>
      </c>
    </row>
    <row r="1378" spans="1:11" ht="15" customHeight="1" x14ac:dyDescent="0.2">
      <c r="A1378" s="4">
        <v>990</v>
      </c>
      <c r="B1378" s="4" t="str">
        <f t="shared" si="5"/>
        <v>State Policy Network_Yankee Institute for Public Policy201945000</v>
      </c>
      <c r="C1378" s="4" t="str">
        <f ca="1">IFERROR(__xludf.DUMMYFUNCTION("ARRAY_CONSTRAIN(ARRAYFORMULA(SINGLE(TEXTJOIN(""_"",TRUE,D1378,G1378))), 1, 1)"),"State Policy Network_2019")</f>
        <v>State Policy Network_2019</v>
      </c>
      <c r="D1378" s="4" t="s">
        <v>46</v>
      </c>
      <c r="E1378" s="8" t="s">
        <v>354</v>
      </c>
      <c r="F1378" s="6">
        <v>45000</v>
      </c>
      <c r="G1378" s="4">
        <v>2019</v>
      </c>
      <c r="H1378" s="4" t="s">
        <v>361</v>
      </c>
      <c r="I1378" s="6"/>
      <c r="J1378" s="6"/>
      <c r="K1378" s="6"/>
    </row>
    <row r="1379" spans="1:11" ht="15" customHeight="1" x14ac:dyDescent="0.2">
      <c r="A1379" s="4">
        <v>990</v>
      </c>
      <c r="B1379" s="4" t="str">
        <f t="shared" si="5"/>
        <v>State Policy Network_Alabama Policy Institute201840000</v>
      </c>
      <c r="C1379" s="4" t="str">
        <f ca="1">IFERROR(__xludf.DUMMYFUNCTION("ARRAY_CONSTRAIN(ARRAYFORMULA(SINGLE(TEXTJOIN(""_"",TRUE,D1379,G1379))), 1, 1)"),"State Policy Network_2018")</f>
        <v>State Policy Network_2018</v>
      </c>
      <c r="D1379" s="4" t="s">
        <v>46</v>
      </c>
      <c r="E1379" s="8" t="s">
        <v>235</v>
      </c>
      <c r="F1379" s="6">
        <v>40000</v>
      </c>
      <c r="G1379" s="4">
        <v>2018</v>
      </c>
      <c r="H1379" s="4" t="s">
        <v>361</v>
      </c>
    </row>
    <row r="1380" spans="1:11" ht="15" customHeight="1" x14ac:dyDescent="0.2">
      <c r="A1380" s="4">
        <v>990</v>
      </c>
      <c r="B1380" s="4" t="str">
        <f t="shared" si="5"/>
        <v>State Policy Network_Badger Institute201845000</v>
      </c>
      <c r="C1380" s="4" t="str">
        <f ca="1">IFERROR(__xludf.DUMMYFUNCTION("ARRAY_CONSTRAIN(ARRAYFORMULA(SINGLE(TEXTJOIN(""_"",TRUE,D1380,G1380))), 1, 1)"),"State Policy Network_2018")</f>
        <v>State Policy Network_2018</v>
      </c>
      <c r="D1380" s="4" t="s">
        <v>46</v>
      </c>
      <c r="E1380" s="8" t="s">
        <v>247</v>
      </c>
      <c r="F1380" s="6">
        <v>45000</v>
      </c>
      <c r="G1380" s="4">
        <v>2018</v>
      </c>
      <c r="H1380" s="4" t="s">
        <v>361</v>
      </c>
    </row>
    <row r="1381" spans="1:11" ht="15" customHeight="1" x14ac:dyDescent="0.2">
      <c r="A1381" s="4">
        <v>990</v>
      </c>
      <c r="B1381" s="4" t="str">
        <f t="shared" si="5"/>
        <v>State Policy Network_Beacon Center of Tennessee2018100000</v>
      </c>
      <c r="C1381" s="4" t="str">
        <f ca="1">IFERROR(__xludf.DUMMYFUNCTION("ARRAY_CONSTRAIN(ARRAYFORMULA(SINGLE(TEXTJOIN(""_"",TRUE,D1381,G1381))), 1, 1)"),"State Policy Network_2018")</f>
        <v>State Policy Network_2018</v>
      </c>
      <c r="D1381" s="4" t="s">
        <v>46</v>
      </c>
      <c r="E1381" s="8" t="s">
        <v>249</v>
      </c>
      <c r="F1381" s="6">
        <v>100000</v>
      </c>
      <c r="G1381" s="4">
        <v>2018</v>
      </c>
      <c r="H1381" s="4" t="s">
        <v>361</v>
      </c>
    </row>
    <row r="1382" spans="1:11" ht="15" customHeight="1" x14ac:dyDescent="0.2">
      <c r="A1382" s="4">
        <v>990</v>
      </c>
      <c r="B1382" s="4" t="str">
        <f t="shared" si="5"/>
        <v>State Policy Network_Cardinal Institute for West Virginia Policy201820000</v>
      </c>
      <c r="C1382" s="4" t="str">
        <f ca="1">IFERROR(__xludf.DUMMYFUNCTION("ARRAY_CONSTRAIN(ARRAYFORMULA(SINGLE(TEXTJOIN(""_"",TRUE,D1382,G1382))), 1, 1)"),"State Policy Network_2018")</f>
        <v>State Policy Network_2018</v>
      </c>
      <c r="D1382" s="4" t="s">
        <v>46</v>
      </c>
      <c r="E1382" s="8" t="s">
        <v>255</v>
      </c>
      <c r="F1382" s="6">
        <v>20000</v>
      </c>
      <c r="G1382" s="4">
        <v>2018</v>
      </c>
      <c r="H1382" s="4" t="s">
        <v>361</v>
      </c>
    </row>
    <row r="1383" spans="1:11" ht="15" customHeight="1" x14ac:dyDescent="0.2">
      <c r="A1383" s="4">
        <v>990</v>
      </c>
      <c r="B1383" s="4" t="str">
        <f t="shared" si="5"/>
        <v>State Policy Network_Center of the American Experiment201850000</v>
      </c>
      <c r="C1383" s="4" t="str">
        <f ca="1">IFERROR(__xludf.DUMMYFUNCTION("ARRAY_CONSTRAIN(ARRAYFORMULA(SINGLE(TEXTJOIN(""_"",TRUE,D1383,G1383))), 1, 1)"),"State Policy Network_2018")</f>
        <v>State Policy Network_2018</v>
      </c>
      <c r="D1383" s="4" t="s">
        <v>46</v>
      </c>
      <c r="E1383" s="8" t="s">
        <v>259</v>
      </c>
      <c r="F1383" s="6">
        <v>50000</v>
      </c>
      <c r="G1383" s="4">
        <v>2018</v>
      </c>
      <c r="H1383" s="4" t="s">
        <v>361</v>
      </c>
    </row>
    <row r="1384" spans="1:11" ht="15" customHeight="1" x14ac:dyDescent="0.2">
      <c r="A1384" s="4">
        <v>990</v>
      </c>
      <c r="B1384" s="4" t="str">
        <f t="shared" si="5"/>
        <v>State Policy Network_Civitas Institute201820000</v>
      </c>
      <c r="C1384" s="4" t="str">
        <f ca="1">IFERROR(__xludf.DUMMYFUNCTION("ARRAY_CONSTRAIN(ARRAYFORMULA(SINGLE(TEXTJOIN(""_"",TRUE,D1384,G1384))), 1, 1)"),"State Policy Network_2018")</f>
        <v>State Policy Network_2018</v>
      </c>
      <c r="D1384" s="4" t="s">
        <v>46</v>
      </c>
      <c r="E1384" s="8" t="s">
        <v>260</v>
      </c>
      <c r="F1384" s="6">
        <v>20000</v>
      </c>
      <c r="G1384" s="4">
        <v>2018</v>
      </c>
      <c r="H1384" s="4" t="s">
        <v>361</v>
      </c>
    </row>
    <row r="1385" spans="1:11" ht="15" customHeight="1" x14ac:dyDescent="0.2">
      <c r="A1385" s="4">
        <v>990</v>
      </c>
      <c r="B1385" s="4" t="str">
        <f t="shared" si="5"/>
        <v>State Policy Network_Commonwealth Foundation for Public Policy Alternatives201884000</v>
      </c>
      <c r="C1385" s="4" t="str">
        <f ca="1">IFERROR(__xludf.DUMMYFUNCTION("ARRAY_CONSTRAIN(ARRAYFORMULA(SINGLE(TEXTJOIN(""_"",TRUE,D1385,G1385))), 1, 1)"),"State Policy Network_2018")</f>
        <v>State Policy Network_2018</v>
      </c>
      <c r="D1385" s="4" t="s">
        <v>46</v>
      </c>
      <c r="E1385" s="4" t="s">
        <v>262</v>
      </c>
      <c r="F1385" s="6">
        <v>84000</v>
      </c>
      <c r="G1385" s="4">
        <v>2018</v>
      </c>
      <c r="H1385" s="4" t="s">
        <v>361</v>
      </c>
    </row>
    <row r="1386" spans="1:11" ht="15" customHeight="1" x14ac:dyDescent="0.2">
      <c r="A1386" s="4">
        <v>990</v>
      </c>
      <c r="B1386" s="4" t="str">
        <f t="shared" si="5"/>
        <v>State Policy Network_Empire Center for Public Policy201853500</v>
      </c>
      <c r="C1386" s="4" t="str">
        <f ca="1">IFERROR(__xludf.DUMMYFUNCTION("ARRAY_CONSTRAIN(ARRAYFORMULA(SINGLE(TEXTJOIN(""_"",TRUE,D1386,G1386))), 1, 1)"),"State Policy Network_2018")</f>
        <v>State Policy Network_2018</v>
      </c>
      <c r="D1386" s="4" t="s">
        <v>46</v>
      </c>
      <c r="E1386" s="8" t="s">
        <v>264</v>
      </c>
      <c r="F1386" s="6">
        <v>53500</v>
      </c>
      <c r="G1386" s="4">
        <v>2018</v>
      </c>
      <c r="H1386" s="4" t="s">
        <v>361</v>
      </c>
    </row>
    <row r="1387" spans="1:11" ht="15" customHeight="1" x14ac:dyDescent="0.2">
      <c r="A1387" s="4">
        <v>990</v>
      </c>
      <c r="B1387" s="4" t="str">
        <f t="shared" si="5"/>
        <v>State Policy Network_Evergreen Freedom Foundation201830000</v>
      </c>
      <c r="C1387" s="4" t="str">
        <f ca="1">IFERROR(__xludf.DUMMYFUNCTION("ARRAY_CONSTRAIN(ARRAYFORMULA(SINGLE(TEXTJOIN(""_"",TRUE,D1387,G1387))), 1, 1)"),"State Policy Network_2018")</f>
        <v>State Policy Network_2018</v>
      </c>
      <c r="D1387" s="4" t="s">
        <v>46</v>
      </c>
      <c r="E1387" s="4" t="s">
        <v>268</v>
      </c>
      <c r="F1387" s="6">
        <v>30000</v>
      </c>
      <c r="G1387" s="4">
        <v>2018</v>
      </c>
      <c r="H1387" s="4" t="s">
        <v>361</v>
      </c>
    </row>
    <row r="1388" spans="1:11" ht="15" customHeight="1" x14ac:dyDescent="0.2">
      <c r="A1388" s="4">
        <v>990</v>
      </c>
      <c r="B1388" s="4" t="str">
        <f t="shared" si="5"/>
        <v>State Policy Network_Garden State Initiative201850000</v>
      </c>
      <c r="C1388" s="4" t="str">
        <f ca="1">IFERROR(__xludf.DUMMYFUNCTION("ARRAY_CONSTRAIN(ARRAYFORMULA(SINGLE(TEXTJOIN(""_"",TRUE,D1388,G1388))), 1, 1)"),"State Policy Network_2018")</f>
        <v>State Policy Network_2018</v>
      </c>
      <c r="D1388" s="4" t="s">
        <v>46</v>
      </c>
      <c r="E1388" s="8" t="s">
        <v>274</v>
      </c>
      <c r="F1388" s="6">
        <v>50000</v>
      </c>
      <c r="G1388" s="4">
        <v>2018</v>
      </c>
      <c r="H1388" s="4" t="s">
        <v>361</v>
      </c>
    </row>
    <row r="1389" spans="1:11" ht="15" customHeight="1" x14ac:dyDescent="0.2">
      <c r="A1389" s="4">
        <v>990</v>
      </c>
      <c r="B1389" s="4" t="str">
        <f t="shared" si="5"/>
        <v>State Policy Network_Georgia Center for Opportunity201866000</v>
      </c>
      <c r="C1389" s="4" t="str">
        <f ca="1">IFERROR(__xludf.DUMMYFUNCTION("ARRAY_CONSTRAIN(ARRAYFORMULA(SINGLE(TEXTJOIN(""_"",TRUE,D1389,G1389))), 1, 1)"),"State Policy Network_2018")</f>
        <v>State Policy Network_2018</v>
      </c>
      <c r="D1389" s="4" t="s">
        <v>46</v>
      </c>
      <c r="E1389" s="8" t="s">
        <v>275</v>
      </c>
      <c r="F1389" s="6">
        <v>66000</v>
      </c>
      <c r="G1389" s="4">
        <v>2018</v>
      </c>
      <c r="H1389" s="4" t="s">
        <v>361</v>
      </c>
    </row>
    <row r="1390" spans="1:11" ht="15" customHeight="1" x14ac:dyDescent="0.2">
      <c r="A1390" s="4">
        <v>990</v>
      </c>
      <c r="B1390" s="4" t="str">
        <f t="shared" si="5"/>
        <v>State Policy Network_Goldwater Institute for Public Policy201864500</v>
      </c>
      <c r="C1390" s="4" t="str">
        <f ca="1">IFERROR(__xludf.DUMMYFUNCTION("ARRAY_CONSTRAIN(ARRAYFORMULA(SINGLE(TEXTJOIN(""_"",TRUE,D1390,G1390))), 1, 1)"),"State Policy Network_2018")</f>
        <v>State Policy Network_2018</v>
      </c>
      <c r="D1390" s="4" t="s">
        <v>46</v>
      </c>
      <c r="E1390" s="8" t="s">
        <v>278</v>
      </c>
      <c r="F1390" s="6">
        <v>64500</v>
      </c>
      <c r="G1390" s="4">
        <v>2018</v>
      </c>
      <c r="H1390" s="4" t="s">
        <v>361</v>
      </c>
    </row>
    <row r="1391" spans="1:11" ht="15" customHeight="1" x14ac:dyDescent="0.2">
      <c r="A1391" s="4">
        <v>990</v>
      </c>
      <c r="B1391" s="4" t="str">
        <f t="shared" si="5"/>
        <v>State Policy Network_Independence Institute2018109000</v>
      </c>
      <c r="C1391" s="4" t="str">
        <f ca="1">IFERROR(__xludf.DUMMYFUNCTION("ARRAY_CONSTRAIN(ARRAYFORMULA(SINGLE(TEXTJOIN(""_"",TRUE,D1391,G1391))), 1, 1)"),"State Policy Network_2018")</f>
        <v>State Policy Network_2018</v>
      </c>
      <c r="D1391" s="4" t="s">
        <v>46</v>
      </c>
      <c r="E1391" s="8" t="s">
        <v>287</v>
      </c>
      <c r="F1391" s="6">
        <v>109000</v>
      </c>
      <c r="G1391" s="4">
        <v>2018</v>
      </c>
      <c r="H1391" s="4" t="s">
        <v>361</v>
      </c>
    </row>
    <row r="1392" spans="1:11" ht="15" customHeight="1" x14ac:dyDescent="0.2">
      <c r="A1392" s="4">
        <v>990</v>
      </c>
      <c r="B1392" s="4" t="str">
        <f t="shared" si="5"/>
        <v>State Policy Network_Mackinac Center for Public Policy201830000</v>
      </c>
      <c r="C1392" s="4" t="str">
        <f ca="1">IFERROR(__xludf.DUMMYFUNCTION("ARRAY_CONSTRAIN(ARRAYFORMULA(SINGLE(TEXTJOIN(""_"",TRUE,D1392,G1392))), 1, 1)"),"State Policy Network_2018")</f>
        <v>State Policy Network_2018</v>
      </c>
      <c r="D1392" s="4" t="s">
        <v>46</v>
      </c>
      <c r="E1392" s="8" t="s">
        <v>303</v>
      </c>
      <c r="F1392" s="6">
        <v>30000</v>
      </c>
      <c r="G1392" s="4">
        <v>2018</v>
      </c>
      <c r="H1392" s="4" t="s">
        <v>361</v>
      </c>
    </row>
    <row r="1393" spans="1:10" ht="15" customHeight="1" x14ac:dyDescent="0.2">
      <c r="A1393" s="4">
        <v>990</v>
      </c>
      <c r="B1393" s="4" t="str">
        <f t="shared" si="5"/>
        <v>State Policy Network_Maine Heritage Policy Center201815000</v>
      </c>
      <c r="C1393" s="4" t="str">
        <f ca="1">IFERROR(__xludf.DUMMYFUNCTION("ARRAY_CONSTRAIN(ARRAYFORMULA(SINGLE(TEXTJOIN(""_"",TRUE,D1393,G1393))), 1, 1)"),"State Policy Network_2018")</f>
        <v>State Policy Network_2018</v>
      </c>
      <c r="D1393" s="4" t="s">
        <v>46</v>
      </c>
      <c r="E1393" s="4" t="s">
        <v>305</v>
      </c>
      <c r="F1393" s="6">
        <v>15000</v>
      </c>
      <c r="G1393" s="4">
        <v>2018</v>
      </c>
      <c r="H1393" s="4" t="s">
        <v>361</v>
      </c>
    </row>
    <row r="1394" spans="1:10" ht="15" customHeight="1" x14ac:dyDescent="0.2">
      <c r="A1394" s="4">
        <v>990</v>
      </c>
      <c r="B1394" s="4" t="str">
        <f t="shared" si="5"/>
        <v>State Policy Network_Maryland Public Policy Institute201850000</v>
      </c>
      <c r="C1394" s="4" t="str">
        <f ca="1">IFERROR(__xludf.DUMMYFUNCTION("ARRAY_CONSTRAIN(ARRAYFORMULA(SINGLE(TEXTJOIN(""_"",TRUE,D1394,G1394))), 1, 1)"),"State Policy Network_2018")</f>
        <v>State Policy Network_2018</v>
      </c>
      <c r="D1394" s="4" t="s">
        <v>46</v>
      </c>
      <c r="E1394" s="8" t="s">
        <v>308</v>
      </c>
      <c r="F1394" s="6">
        <v>50000</v>
      </c>
      <c r="G1394" s="4">
        <v>2018</v>
      </c>
      <c r="H1394" s="4" t="s">
        <v>361</v>
      </c>
    </row>
    <row r="1395" spans="1:10" ht="15" customHeight="1" x14ac:dyDescent="0.2">
      <c r="A1395" s="4">
        <v>990</v>
      </c>
      <c r="B1395" s="4" t="str">
        <f t="shared" si="5"/>
        <v>State Policy Network_Mississippi Center for Public Policy201825000</v>
      </c>
      <c r="C1395" s="4" t="str">
        <f ca="1">IFERROR(__xludf.DUMMYFUNCTION("ARRAY_CONSTRAIN(ARRAYFORMULA(SINGLE(TEXTJOIN(""_"",TRUE,D1395,G1395))), 1, 1)"),"State Policy Network_2018")</f>
        <v>State Policy Network_2018</v>
      </c>
      <c r="D1395" s="4" t="s">
        <v>46</v>
      </c>
      <c r="E1395" s="8" t="s">
        <v>309</v>
      </c>
      <c r="F1395" s="6">
        <v>25000</v>
      </c>
      <c r="G1395" s="4">
        <v>2018</v>
      </c>
      <c r="H1395" s="4" t="s">
        <v>361</v>
      </c>
    </row>
    <row r="1396" spans="1:10" ht="15" customHeight="1" x14ac:dyDescent="0.2">
      <c r="A1396" s="4">
        <v>990</v>
      </c>
      <c r="B1396" s="4" t="str">
        <f t="shared" si="5"/>
        <v>State Policy Network_Oklahoma Council of Public Affairs201843100</v>
      </c>
      <c r="C1396" s="4" t="str">
        <f ca="1">IFERROR(__xludf.DUMMYFUNCTION("ARRAY_CONSTRAIN(ARRAYFORMULA(SINGLE(TEXTJOIN(""_"",TRUE,D1396,G1396))), 1, 1)"),"State Policy Network_2018")</f>
        <v>State Policy Network_2018</v>
      </c>
      <c r="D1396" s="4" t="s">
        <v>46</v>
      </c>
      <c r="E1396" s="8" t="s">
        <v>315</v>
      </c>
      <c r="F1396" s="6">
        <v>43100</v>
      </c>
      <c r="G1396" s="4">
        <v>2018</v>
      </c>
      <c r="H1396" s="4" t="s">
        <v>361</v>
      </c>
    </row>
    <row r="1397" spans="1:10" ht="15" customHeight="1" x14ac:dyDescent="0.2">
      <c r="A1397" s="4">
        <v>990</v>
      </c>
      <c r="B1397" s="4" t="str">
        <f t="shared" si="5"/>
        <v>State Policy Network_Pelican Institute for Public Policy201815500</v>
      </c>
      <c r="C1397" s="4" t="str">
        <f ca="1">IFERROR(__xludf.DUMMYFUNCTION("ARRAY_CONSTRAIN(ARRAYFORMULA(SINGLE(TEXTJOIN(""_"",TRUE,D1397,G1397))), 1, 1)"),"State Policy Network_2018")</f>
        <v>State Policy Network_2018</v>
      </c>
      <c r="D1397" s="4" t="s">
        <v>46</v>
      </c>
      <c r="E1397" s="8" t="s">
        <v>324</v>
      </c>
      <c r="F1397" s="6">
        <v>15500</v>
      </c>
      <c r="G1397" s="4">
        <v>2018</v>
      </c>
      <c r="H1397" s="4" t="s">
        <v>361</v>
      </c>
    </row>
    <row r="1398" spans="1:10" ht="15" customHeight="1" x14ac:dyDescent="0.2">
      <c r="A1398" s="4">
        <v>990</v>
      </c>
      <c r="B1398" s="4" t="str">
        <f t="shared" si="5"/>
        <v>State Policy Network_Show-Me Institute201815000</v>
      </c>
      <c r="C1398" s="4" t="str">
        <f ca="1">IFERROR(__xludf.DUMMYFUNCTION("ARRAY_CONSTRAIN(ARRAYFORMULA(SINGLE(TEXTJOIN(""_"",TRUE,D1398,G1398))), 1, 1)"),"State Policy Network_2018")</f>
        <v>State Policy Network_2018</v>
      </c>
      <c r="D1398" s="4" t="s">
        <v>46</v>
      </c>
      <c r="E1398" s="4" t="s">
        <v>332</v>
      </c>
      <c r="F1398" s="6">
        <v>15000</v>
      </c>
      <c r="G1398" s="4">
        <v>2018</v>
      </c>
      <c r="H1398" s="4" t="s">
        <v>361</v>
      </c>
    </row>
    <row r="1399" spans="1:10" ht="15" customHeight="1" x14ac:dyDescent="0.2">
      <c r="A1399" s="4">
        <v>990</v>
      </c>
      <c r="B1399" s="4" t="str">
        <f t="shared" si="5"/>
        <v>State Policy Network_Sutherland Institute201815000</v>
      </c>
      <c r="C1399" s="4" t="str">
        <f ca="1">IFERROR(__xludf.DUMMYFUNCTION("ARRAY_CONSTRAIN(ARRAYFORMULA(SINGLE(TEXTJOIN(""_"",TRUE,D1399,G1399))), 1, 1)"),"State Policy Network_2018")</f>
        <v>State Policy Network_2018</v>
      </c>
      <c r="D1399" s="4" t="s">
        <v>46</v>
      </c>
      <c r="E1399" s="8" t="s">
        <v>337</v>
      </c>
      <c r="F1399" s="6">
        <v>15000</v>
      </c>
      <c r="G1399" s="4">
        <v>2018</v>
      </c>
      <c r="H1399" s="4" t="s">
        <v>361</v>
      </c>
    </row>
    <row r="1400" spans="1:10" ht="15" customHeight="1" x14ac:dyDescent="0.2">
      <c r="A1400" s="4">
        <v>990</v>
      </c>
      <c r="B1400" s="4" t="str">
        <f t="shared" si="5"/>
        <v>State Policy Network_Talent Market201815000</v>
      </c>
      <c r="C1400" s="4" t="str">
        <f ca="1">IFERROR(__xludf.DUMMYFUNCTION("ARRAY_CONSTRAIN(ARRAYFORMULA(SINGLE(TEXTJOIN(""_"",TRUE,D1400,G1400))), 1, 1)"),"State Policy Network_2018")</f>
        <v>State Policy Network_2018</v>
      </c>
      <c r="D1400" s="4" t="s">
        <v>46</v>
      </c>
      <c r="E1400" s="4" t="s">
        <v>338</v>
      </c>
      <c r="F1400" s="6">
        <v>15000</v>
      </c>
      <c r="G1400" s="4">
        <v>2018</v>
      </c>
      <c r="H1400" s="4" t="s">
        <v>361</v>
      </c>
      <c r="I1400" s="4" t="s">
        <v>732</v>
      </c>
    </row>
    <row r="1401" spans="1:10" ht="15" customHeight="1" x14ac:dyDescent="0.2">
      <c r="A1401" s="4">
        <v>990</v>
      </c>
      <c r="B1401" s="4" t="str">
        <f t="shared" si="5"/>
        <v>State Policy Network_Washington Policy Center201815000</v>
      </c>
      <c r="C1401" s="4" t="str">
        <f ca="1">IFERROR(__xludf.DUMMYFUNCTION("ARRAY_CONSTRAIN(ARRAYFORMULA(SINGLE(TEXTJOIN(""_"",TRUE,D1401,G1401))), 1, 1)"),"State Policy Network_2018")</f>
        <v>State Policy Network_2018</v>
      </c>
      <c r="D1401" s="4" t="s">
        <v>46</v>
      </c>
      <c r="E1401" s="8" t="s">
        <v>348</v>
      </c>
      <c r="F1401" s="6">
        <v>15000</v>
      </c>
      <c r="G1401" s="4">
        <v>2018</v>
      </c>
      <c r="H1401" s="4" t="s">
        <v>361</v>
      </c>
    </row>
    <row r="1402" spans="1:10" ht="15" customHeight="1" x14ac:dyDescent="0.2">
      <c r="A1402" s="4">
        <v>990</v>
      </c>
      <c r="B1402" s="4" t="str">
        <f t="shared" si="5"/>
        <v>State Policy Network_Yankee Institute for Public Policy201815000</v>
      </c>
      <c r="C1402" s="4" t="str">
        <f ca="1">IFERROR(__xludf.DUMMYFUNCTION("ARRAY_CONSTRAIN(ARRAYFORMULA(SINGLE(TEXTJOIN(""_"",TRUE,D1402,G1402))), 1, 1)"),"State Policy Network_2018")</f>
        <v>State Policy Network_2018</v>
      </c>
      <c r="D1402" s="4" t="s">
        <v>46</v>
      </c>
      <c r="E1402" s="8" t="s">
        <v>354</v>
      </c>
      <c r="F1402" s="6">
        <v>15000</v>
      </c>
      <c r="G1402" s="4">
        <v>2018</v>
      </c>
      <c r="H1402" s="4" t="s">
        <v>361</v>
      </c>
    </row>
    <row r="1403" spans="1:10" ht="15" customHeight="1" x14ac:dyDescent="0.2">
      <c r="A1403" s="4">
        <v>990</v>
      </c>
      <c r="B1403" s="4" t="str">
        <f t="shared" si="5"/>
        <v>State Policy Network_Alabama Policy Institute201715000</v>
      </c>
      <c r="C1403" s="4" t="str">
        <f ca="1">IFERROR(__xludf.DUMMYFUNCTION("ARRAY_CONSTRAIN(ARRAYFORMULA(SINGLE(TEXTJOIN(""_"",TRUE,D1403,G1403))), 1, 1)"),"State Policy Network_2017")</f>
        <v>State Policy Network_2017</v>
      </c>
      <c r="D1403" s="4" t="s">
        <v>46</v>
      </c>
      <c r="E1403" s="8" t="s">
        <v>235</v>
      </c>
      <c r="F1403" s="6">
        <v>15000</v>
      </c>
      <c r="G1403" s="4">
        <v>2017</v>
      </c>
      <c r="H1403" s="4" t="s">
        <v>361</v>
      </c>
    </row>
    <row r="1404" spans="1:10" ht="15" customHeight="1" x14ac:dyDescent="0.2">
      <c r="A1404" s="4">
        <v>990</v>
      </c>
      <c r="B1404" s="4" t="str">
        <f t="shared" si="5"/>
        <v>State Policy Network_American Transparency201724000</v>
      </c>
      <c r="C1404" s="4" t="str">
        <f ca="1">IFERROR(__xludf.DUMMYFUNCTION("ARRAY_CONSTRAIN(ARRAYFORMULA(SINGLE(TEXTJOIN(""_"",TRUE,D1404,G1404))), 1, 1)"),"State Policy Network_2017")</f>
        <v>State Policy Network_2017</v>
      </c>
      <c r="D1404" s="4" t="s">
        <v>46</v>
      </c>
      <c r="E1404" s="8" t="s">
        <v>241</v>
      </c>
      <c r="F1404" s="6">
        <v>24000</v>
      </c>
      <c r="G1404" s="4">
        <v>2017</v>
      </c>
      <c r="H1404" s="4" t="s">
        <v>361</v>
      </c>
    </row>
    <row r="1405" spans="1:10" ht="15" customHeight="1" x14ac:dyDescent="0.2">
      <c r="A1405" s="4">
        <v>990</v>
      </c>
      <c r="B1405" s="4" t="str">
        <f t="shared" si="5"/>
        <v>State Policy Network_Arkansas Policy Foundation201717500</v>
      </c>
      <c r="C1405" s="4" t="str">
        <f ca="1">IFERROR(__xludf.DUMMYFUNCTION("ARRAY_CONSTRAIN(ARRAYFORMULA(SINGLE(TEXTJOIN(""_"",TRUE,D1405,G1405))), 1, 1)"),"State Policy Network_2017")</f>
        <v>State Policy Network_2017</v>
      </c>
      <c r="D1405" s="4" t="s">
        <v>46</v>
      </c>
      <c r="E1405" s="8" t="s">
        <v>244</v>
      </c>
      <c r="F1405" s="6">
        <v>17500</v>
      </c>
      <c r="G1405" s="4">
        <v>2017</v>
      </c>
      <c r="H1405" s="4" t="s">
        <v>361</v>
      </c>
      <c r="I1405" s="6"/>
      <c r="J1405" s="6"/>
    </row>
    <row r="1406" spans="1:10" ht="15" customHeight="1" x14ac:dyDescent="0.2">
      <c r="A1406" s="4">
        <v>990</v>
      </c>
      <c r="B1406" s="4" t="str">
        <f t="shared" si="5"/>
        <v>State Policy Network_Bluegrass Institute for Public Policy Solutions201710000</v>
      </c>
      <c r="C1406" s="4" t="str">
        <f ca="1">IFERROR(__xludf.DUMMYFUNCTION("ARRAY_CONSTRAIN(ARRAYFORMULA(SINGLE(TEXTJOIN(""_"",TRUE,D1406,G1406))), 1, 1)"),"State Policy Network_2017")</f>
        <v>State Policy Network_2017</v>
      </c>
      <c r="D1406" s="4" t="s">
        <v>46</v>
      </c>
      <c r="E1406" s="8" t="s">
        <v>251</v>
      </c>
      <c r="F1406" s="6">
        <v>10000</v>
      </c>
      <c r="G1406" s="4">
        <v>2017</v>
      </c>
      <c r="H1406" s="4" t="s">
        <v>361</v>
      </c>
    </row>
    <row r="1407" spans="1:10" ht="15" customHeight="1" x14ac:dyDescent="0.2">
      <c r="A1407" s="4">
        <v>990</v>
      </c>
      <c r="B1407" s="4" t="str">
        <f t="shared" si="5"/>
        <v>State Policy Network_Buckeye Institute for Public Policy Solutions201734000</v>
      </c>
      <c r="C1407" s="4" t="str">
        <f ca="1">IFERROR(__xludf.DUMMYFUNCTION("ARRAY_CONSTRAIN(ARRAYFORMULA(SINGLE(TEXTJOIN(""_"",TRUE,D1407,G1407))), 1, 1)"),"State Policy Network_2017")</f>
        <v>State Policy Network_2017</v>
      </c>
      <c r="D1407" s="4" t="s">
        <v>46</v>
      </c>
      <c r="E1407" s="4" t="s">
        <v>252</v>
      </c>
      <c r="F1407" s="6">
        <v>34000</v>
      </c>
      <c r="G1407" s="4">
        <v>2017</v>
      </c>
      <c r="H1407" s="4" t="s">
        <v>361</v>
      </c>
    </row>
    <row r="1408" spans="1:10" ht="15" customHeight="1" x14ac:dyDescent="0.2">
      <c r="A1408" s="4">
        <v>990</v>
      </c>
      <c r="B1408" s="4" t="str">
        <f t="shared" si="5"/>
        <v>State Policy Network_California Policy Center201766950</v>
      </c>
      <c r="C1408" s="4" t="str">
        <f ca="1">IFERROR(__xludf.DUMMYFUNCTION("ARRAY_CONSTRAIN(ARRAYFORMULA(SINGLE(TEXTJOIN(""_"",TRUE,D1408,G1408))), 1, 1)"),"State Policy Network_2017")</f>
        <v>State Policy Network_2017</v>
      </c>
      <c r="D1408" s="4" t="s">
        <v>46</v>
      </c>
      <c r="E1408" s="8" t="s">
        <v>254</v>
      </c>
      <c r="F1408" s="6">
        <v>66950</v>
      </c>
      <c r="G1408" s="4">
        <v>2017</v>
      </c>
      <c r="H1408" s="4" t="s">
        <v>361</v>
      </c>
    </row>
    <row r="1409" spans="1:8" ht="15" customHeight="1" x14ac:dyDescent="0.2">
      <c r="A1409" s="4">
        <v>990</v>
      </c>
      <c r="B1409" s="4" t="str">
        <f t="shared" si="5"/>
        <v>State Policy Network_Cascade Policy Institute201752000</v>
      </c>
      <c r="C1409" s="4" t="str">
        <f ca="1">IFERROR(__xludf.DUMMYFUNCTION("ARRAY_CONSTRAIN(ARRAYFORMULA(SINGLE(TEXTJOIN(""_"",TRUE,D1409,G1409))), 1, 1)"),"State Policy Network_2017")</f>
        <v>State Policy Network_2017</v>
      </c>
      <c r="D1409" s="4" t="s">
        <v>46</v>
      </c>
      <c r="E1409" s="8" t="s">
        <v>256</v>
      </c>
      <c r="F1409" s="6">
        <v>52000</v>
      </c>
      <c r="G1409" s="4">
        <v>2017</v>
      </c>
      <c r="H1409" s="4" t="s">
        <v>361</v>
      </c>
    </row>
    <row r="1410" spans="1:8" ht="15" customHeight="1" x14ac:dyDescent="0.2">
      <c r="A1410" s="4">
        <v>990</v>
      </c>
      <c r="B1410" s="4" t="str">
        <f t="shared" si="5"/>
        <v>State Policy Network_DonorsTrust201710000</v>
      </c>
      <c r="C1410" s="4" t="str">
        <f ca="1">IFERROR(__xludf.DUMMYFUNCTION("ARRAY_CONSTRAIN(ARRAYFORMULA(SINGLE(TEXTJOIN(""_"",TRUE,D1410,G1410))), 1, 1)"),"State Policy Network_2017")</f>
        <v>State Policy Network_2017</v>
      </c>
      <c r="D1410" s="4" t="s">
        <v>46</v>
      </c>
      <c r="E1410" s="8" t="s">
        <v>9</v>
      </c>
      <c r="F1410" s="6">
        <v>10000</v>
      </c>
      <c r="G1410" s="4">
        <v>2017</v>
      </c>
      <c r="H1410" s="4" t="s">
        <v>361</v>
      </c>
    </row>
    <row r="1411" spans="1:8" ht="15" customHeight="1" x14ac:dyDescent="0.2">
      <c r="A1411" s="4">
        <v>990</v>
      </c>
      <c r="B1411" s="4" t="str">
        <f t="shared" si="5"/>
        <v>State Policy Network_Empire Center for Public Policy20176400</v>
      </c>
      <c r="C1411" s="4" t="str">
        <f ca="1">IFERROR(__xludf.DUMMYFUNCTION("ARRAY_CONSTRAIN(ARRAYFORMULA(SINGLE(TEXTJOIN(""_"",TRUE,D1411,G1411))), 1, 1)"),"State Policy Network_2017")</f>
        <v>State Policy Network_2017</v>
      </c>
      <c r="D1411" s="4" t="s">
        <v>46</v>
      </c>
      <c r="E1411" s="8" t="s">
        <v>264</v>
      </c>
      <c r="F1411" s="6">
        <v>6400</v>
      </c>
      <c r="G1411" s="4">
        <v>2017</v>
      </c>
      <c r="H1411" s="4" t="s">
        <v>361</v>
      </c>
    </row>
    <row r="1412" spans="1:8" ht="15" customHeight="1" x14ac:dyDescent="0.2">
      <c r="A1412" s="4">
        <v>990</v>
      </c>
      <c r="B1412" s="4" t="str">
        <f t="shared" si="5"/>
        <v>State Policy Network_Foundation for Government Accountability201710000</v>
      </c>
      <c r="C1412" s="4" t="str">
        <f ca="1">IFERROR(__xludf.DUMMYFUNCTION("ARRAY_CONSTRAIN(ARRAYFORMULA(SINGLE(TEXTJOIN(""_"",TRUE,D1412,G1412))), 1, 1)"),"State Policy Network_2017")</f>
        <v>State Policy Network_2017</v>
      </c>
      <c r="D1412" s="4" t="s">
        <v>46</v>
      </c>
      <c r="E1412" s="8" t="s">
        <v>271</v>
      </c>
      <c r="F1412" s="6">
        <v>10000</v>
      </c>
      <c r="G1412" s="4">
        <v>2017</v>
      </c>
      <c r="H1412" s="4" t="s">
        <v>361</v>
      </c>
    </row>
    <row r="1413" spans="1:8" ht="15" customHeight="1" x14ac:dyDescent="0.2">
      <c r="A1413" s="4">
        <v>990</v>
      </c>
      <c r="B1413" s="4" t="str">
        <f t="shared" si="5"/>
        <v>State Policy Network_Evergreen Freedom Foundation201753700</v>
      </c>
      <c r="C1413" s="4" t="str">
        <f ca="1">IFERROR(__xludf.DUMMYFUNCTION("ARRAY_CONSTRAIN(ARRAYFORMULA(SINGLE(TEXTJOIN(""_"",TRUE,D1413,G1413))), 1, 1)"),"State Policy Network_2017")</f>
        <v>State Policy Network_2017</v>
      </c>
      <c r="D1413" s="4" t="s">
        <v>46</v>
      </c>
      <c r="E1413" s="4" t="s">
        <v>268</v>
      </c>
      <c r="F1413" s="6">
        <v>53700</v>
      </c>
      <c r="G1413" s="4">
        <v>2017</v>
      </c>
      <c r="H1413" s="4" t="s">
        <v>361</v>
      </c>
    </row>
    <row r="1414" spans="1:8" ht="15" customHeight="1" x14ac:dyDescent="0.2">
      <c r="A1414" s="4">
        <v>990</v>
      </c>
      <c r="B1414" s="4" t="str">
        <f t="shared" si="5"/>
        <v>State Policy Network_Garden State Initiative201782500</v>
      </c>
      <c r="C1414" s="4" t="str">
        <f ca="1">IFERROR(__xludf.DUMMYFUNCTION("ARRAY_CONSTRAIN(ARRAYFORMULA(SINGLE(TEXTJOIN(""_"",TRUE,D1414,G1414))), 1, 1)"),"State Policy Network_2017")</f>
        <v>State Policy Network_2017</v>
      </c>
      <c r="D1414" s="4" t="s">
        <v>46</v>
      </c>
      <c r="E1414" s="8" t="s">
        <v>274</v>
      </c>
      <c r="F1414" s="6">
        <v>82500</v>
      </c>
      <c r="G1414" s="4">
        <v>2017</v>
      </c>
      <c r="H1414" s="4" t="s">
        <v>361</v>
      </c>
    </row>
    <row r="1415" spans="1:8" ht="15" customHeight="1" x14ac:dyDescent="0.2">
      <c r="A1415" s="4">
        <v>990</v>
      </c>
      <c r="B1415" s="4" t="str">
        <f t="shared" si="5"/>
        <v>State Policy Network_Georgia Center for Opportunity201747500</v>
      </c>
      <c r="C1415" s="4" t="str">
        <f ca="1">IFERROR(__xludf.DUMMYFUNCTION("ARRAY_CONSTRAIN(ARRAYFORMULA(SINGLE(TEXTJOIN(""_"",TRUE,D1415,G1415))), 1, 1)"),"State Policy Network_2017")</f>
        <v>State Policy Network_2017</v>
      </c>
      <c r="D1415" s="4" t="s">
        <v>46</v>
      </c>
      <c r="E1415" s="8" t="s">
        <v>275</v>
      </c>
      <c r="F1415" s="6">
        <v>47500</v>
      </c>
      <c r="G1415" s="4">
        <v>2017</v>
      </c>
      <c r="H1415" s="4" t="s">
        <v>361</v>
      </c>
    </row>
    <row r="1416" spans="1:8" ht="15" customHeight="1" x14ac:dyDescent="0.2">
      <c r="A1416" s="4">
        <v>990</v>
      </c>
      <c r="B1416" s="4" t="str">
        <f t="shared" si="5"/>
        <v>State Policy Network_Goldwater Institute for Public Policy201710500</v>
      </c>
      <c r="C1416" s="4" t="str">
        <f ca="1">IFERROR(__xludf.DUMMYFUNCTION("ARRAY_CONSTRAIN(ARRAYFORMULA(SINGLE(TEXTJOIN(""_"",TRUE,D1416,G1416))), 1, 1)"),"State Policy Network_2017")</f>
        <v>State Policy Network_2017</v>
      </c>
      <c r="D1416" s="4" t="s">
        <v>46</v>
      </c>
      <c r="E1416" s="8" t="s">
        <v>278</v>
      </c>
      <c r="F1416" s="6">
        <v>10500</v>
      </c>
      <c r="G1416" s="4">
        <v>2017</v>
      </c>
      <c r="H1416" s="4" t="s">
        <v>361</v>
      </c>
    </row>
    <row r="1417" spans="1:8" ht="15" customHeight="1" x14ac:dyDescent="0.2">
      <c r="A1417" s="4">
        <v>990</v>
      </c>
      <c r="B1417" s="4" t="str">
        <f t="shared" si="5"/>
        <v>State Policy Network_Illinois Policy Institute2017190000</v>
      </c>
      <c r="C1417" s="4" t="str">
        <f ca="1">IFERROR(__xludf.DUMMYFUNCTION("ARRAY_CONSTRAIN(ARRAYFORMULA(SINGLE(TEXTJOIN(""_"",TRUE,D1417,G1417))), 1, 1)"),"State Policy Network_2017")</f>
        <v>State Policy Network_2017</v>
      </c>
      <c r="D1417" s="4" t="s">
        <v>46</v>
      </c>
      <c r="E1417" s="8" t="s">
        <v>286</v>
      </c>
      <c r="F1417" s="6">
        <v>190000</v>
      </c>
      <c r="G1417" s="4">
        <v>2017</v>
      </c>
      <c r="H1417" s="4" t="s">
        <v>361</v>
      </c>
    </row>
    <row r="1418" spans="1:8" ht="15" customHeight="1" x14ac:dyDescent="0.2">
      <c r="A1418" s="4">
        <v>990</v>
      </c>
      <c r="B1418" s="4" t="str">
        <f t="shared" si="5"/>
        <v>State Policy Network_Independence Institute201726000</v>
      </c>
      <c r="C1418" s="4" t="str">
        <f ca="1">IFERROR(__xludf.DUMMYFUNCTION("ARRAY_CONSTRAIN(ARRAYFORMULA(SINGLE(TEXTJOIN(""_"",TRUE,D1418,G1418))), 1, 1)"),"State Policy Network_2017")</f>
        <v>State Policy Network_2017</v>
      </c>
      <c r="D1418" s="4" t="s">
        <v>46</v>
      </c>
      <c r="E1418" s="8" t="s">
        <v>287</v>
      </c>
      <c r="F1418" s="6">
        <v>26000</v>
      </c>
      <c r="G1418" s="4">
        <v>2017</v>
      </c>
      <c r="H1418" s="4" t="s">
        <v>361</v>
      </c>
    </row>
    <row r="1419" spans="1:8" ht="15" customHeight="1" x14ac:dyDescent="0.2">
      <c r="A1419" s="4">
        <v>990</v>
      </c>
      <c r="B1419" s="4" t="str">
        <f t="shared" si="5"/>
        <v>State Policy Network_Institute for Humane Studies20176000</v>
      </c>
      <c r="C1419" s="4" t="str">
        <f ca="1">IFERROR(__xludf.DUMMYFUNCTION("ARRAY_CONSTRAIN(ARRAYFORMULA(SINGLE(TEXTJOIN(""_"",TRUE,D1419,G1419))), 1, 1)"),"State Policy Network_2017")</f>
        <v>State Policy Network_2017</v>
      </c>
      <c r="D1419" s="4" t="s">
        <v>46</v>
      </c>
      <c r="E1419" s="8" t="s">
        <v>53</v>
      </c>
      <c r="F1419" s="6">
        <v>6000</v>
      </c>
      <c r="G1419" s="4">
        <v>2017</v>
      </c>
      <c r="H1419" s="4" t="s">
        <v>361</v>
      </c>
    </row>
    <row r="1420" spans="1:8" ht="15" customHeight="1" x14ac:dyDescent="0.2">
      <c r="A1420" s="4">
        <v>990</v>
      </c>
      <c r="B1420" s="4" t="str">
        <f t="shared" si="5"/>
        <v>State Policy Network_James Madison Institute201748000</v>
      </c>
      <c r="C1420" s="4" t="str">
        <f ca="1">IFERROR(__xludf.DUMMYFUNCTION("ARRAY_CONSTRAIN(ARRAYFORMULA(SINGLE(TEXTJOIN(""_"",TRUE,D1420,G1420))), 1, 1)"),"State Policy Network_2017")</f>
        <v>State Policy Network_2017</v>
      </c>
      <c r="D1420" s="4" t="s">
        <v>46</v>
      </c>
      <c r="E1420" s="4" t="s">
        <v>291</v>
      </c>
      <c r="F1420" s="6">
        <v>48000</v>
      </c>
      <c r="G1420" s="4">
        <v>2017</v>
      </c>
      <c r="H1420" s="4" t="s">
        <v>361</v>
      </c>
    </row>
    <row r="1421" spans="1:8" ht="15" customHeight="1" x14ac:dyDescent="0.2">
      <c r="A1421" s="4">
        <v>990</v>
      </c>
      <c r="B1421" s="4" t="str">
        <f t="shared" si="5"/>
        <v>State Policy Network_John Locke Foundation201710000</v>
      </c>
      <c r="C1421" s="4" t="str">
        <f ca="1">IFERROR(__xludf.DUMMYFUNCTION("ARRAY_CONSTRAIN(ARRAYFORMULA(SINGLE(TEXTJOIN(""_"",TRUE,D1421,G1421))), 1, 1)"),"State Policy Network_2017")</f>
        <v>State Policy Network_2017</v>
      </c>
      <c r="D1421" s="4" t="s">
        <v>46</v>
      </c>
      <c r="E1421" s="8" t="s">
        <v>292</v>
      </c>
      <c r="F1421" s="6">
        <v>10000</v>
      </c>
      <c r="G1421" s="4">
        <v>2017</v>
      </c>
      <c r="H1421" s="4" t="s">
        <v>361</v>
      </c>
    </row>
    <row r="1422" spans="1:8" ht="15" customHeight="1" x14ac:dyDescent="0.2">
      <c r="A1422" s="4">
        <v>990</v>
      </c>
      <c r="B1422" s="4" t="str">
        <f t="shared" si="5"/>
        <v>State Policy Network_Maciver Institute20178500</v>
      </c>
      <c r="C1422" s="4" t="str">
        <f ca="1">IFERROR(__xludf.DUMMYFUNCTION("ARRAY_CONSTRAIN(ARRAYFORMULA(SINGLE(TEXTJOIN(""_"",TRUE,D1422,G1422))), 1, 1)"),"State Policy Network_2017")</f>
        <v>State Policy Network_2017</v>
      </c>
      <c r="D1422" s="4" t="s">
        <v>46</v>
      </c>
      <c r="E1422" s="8" t="s">
        <v>302</v>
      </c>
      <c r="F1422" s="6">
        <v>8500</v>
      </c>
      <c r="G1422" s="4">
        <v>2017</v>
      </c>
      <c r="H1422" s="4" t="s">
        <v>361</v>
      </c>
    </row>
    <row r="1423" spans="1:8" ht="15" customHeight="1" x14ac:dyDescent="0.2">
      <c r="A1423" s="4">
        <v>990</v>
      </c>
      <c r="B1423" s="4" t="str">
        <f t="shared" si="5"/>
        <v>State Policy Network_Mackinac Center for Public Policy201726200</v>
      </c>
      <c r="C1423" s="4" t="str">
        <f ca="1">IFERROR(__xludf.DUMMYFUNCTION("ARRAY_CONSTRAIN(ARRAYFORMULA(SINGLE(TEXTJOIN(""_"",TRUE,D1423,G1423))), 1, 1)"),"State Policy Network_2017")</f>
        <v>State Policy Network_2017</v>
      </c>
      <c r="D1423" s="4" t="s">
        <v>46</v>
      </c>
      <c r="E1423" s="8" t="s">
        <v>303</v>
      </c>
      <c r="F1423" s="6">
        <v>26200</v>
      </c>
      <c r="G1423" s="4">
        <v>2017</v>
      </c>
      <c r="H1423" s="4" t="s">
        <v>361</v>
      </c>
    </row>
    <row r="1424" spans="1:8" ht="15" customHeight="1" x14ac:dyDescent="0.2">
      <c r="A1424" s="4">
        <v>990</v>
      </c>
      <c r="B1424" s="4" t="str">
        <f t="shared" si="5"/>
        <v>State Policy Network_Maryland Public Policy Institute201750500</v>
      </c>
      <c r="C1424" s="4" t="str">
        <f ca="1">IFERROR(__xludf.DUMMYFUNCTION("ARRAY_CONSTRAIN(ARRAYFORMULA(SINGLE(TEXTJOIN(""_"",TRUE,D1424,G1424))), 1, 1)"),"State Policy Network_2017")</f>
        <v>State Policy Network_2017</v>
      </c>
      <c r="D1424" s="4" t="s">
        <v>46</v>
      </c>
      <c r="E1424" s="8" t="s">
        <v>308</v>
      </c>
      <c r="F1424" s="6">
        <v>50500</v>
      </c>
      <c r="G1424" s="4">
        <v>2017</v>
      </c>
      <c r="H1424" s="4" t="s">
        <v>361</v>
      </c>
    </row>
    <row r="1425" spans="1:8" ht="15" customHeight="1" x14ac:dyDescent="0.2">
      <c r="A1425" s="4">
        <v>990</v>
      </c>
      <c r="B1425" s="4" t="str">
        <f t="shared" si="5"/>
        <v>State Policy Network_Nevada Policy Research Institute201725600</v>
      </c>
      <c r="C1425" s="4" t="str">
        <f ca="1">IFERROR(__xludf.DUMMYFUNCTION("ARRAY_CONSTRAIN(ARRAYFORMULA(SINGLE(TEXTJOIN(""_"",TRUE,D1425,G1425))), 1, 1)"),"State Policy Network_2017")</f>
        <v>State Policy Network_2017</v>
      </c>
      <c r="D1425" s="4" t="s">
        <v>46</v>
      </c>
      <c r="E1425" s="8" t="s">
        <v>312</v>
      </c>
      <c r="F1425" s="6">
        <v>25600</v>
      </c>
      <c r="G1425" s="4">
        <v>2017</v>
      </c>
      <c r="H1425" s="4" t="s">
        <v>361</v>
      </c>
    </row>
    <row r="1426" spans="1:8" ht="15" customHeight="1" x14ac:dyDescent="0.2">
      <c r="A1426" s="4">
        <v>990</v>
      </c>
      <c r="B1426" s="4" t="str">
        <f t="shared" si="5"/>
        <v>State Policy Network_Oklahoma Council of Public Affairs201723600</v>
      </c>
      <c r="C1426" s="4" t="str">
        <f ca="1">IFERROR(__xludf.DUMMYFUNCTION("ARRAY_CONSTRAIN(ARRAYFORMULA(SINGLE(TEXTJOIN(""_"",TRUE,D1426,G1426))), 1, 1)"),"State Policy Network_2017")</f>
        <v>State Policy Network_2017</v>
      </c>
      <c r="D1426" s="4" t="s">
        <v>46</v>
      </c>
      <c r="E1426" s="8" t="s">
        <v>315</v>
      </c>
      <c r="F1426" s="6">
        <v>23600</v>
      </c>
      <c r="G1426" s="4">
        <v>2017</v>
      </c>
      <c r="H1426" s="4" t="s">
        <v>361</v>
      </c>
    </row>
    <row r="1427" spans="1:8" ht="15" customHeight="1" x14ac:dyDescent="0.2">
      <c r="A1427" s="4">
        <v>990</v>
      </c>
      <c r="B1427" s="4" t="str">
        <f t="shared" si="5"/>
        <v>State Policy Network_Pacific Research Institute201725000</v>
      </c>
      <c r="C1427" s="4" t="str">
        <f ca="1">IFERROR(__xludf.DUMMYFUNCTION("ARRAY_CONSTRAIN(ARRAYFORMULA(SINGLE(TEXTJOIN(""_"",TRUE,D1427,G1427))), 1, 1)"),"State Policy Network_2017")</f>
        <v>State Policy Network_2017</v>
      </c>
      <c r="D1427" s="4" t="s">
        <v>46</v>
      </c>
      <c r="E1427" s="8" t="s">
        <v>321</v>
      </c>
      <c r="F1427" s="6">
        <v>25000</v>
      </c>
      <c r="G1427" s="4">
        <v>2017</v>
      </c>
      <c r="H1427" s="4" t="s">
        <v>361</v>
      </c>
    </row>
    <row r="1428" spans="1:8" ht="15" customHeight="1" x14ac:dyDescent="0.2">
      <c r="A1428" s="4">
        <v>990</v>
      </c>
      <c r="B1428" s="4" t="str">
        <f t="shared" si="5"/>
        <v>State Policy Network_Palmetto Promise Institute201747500</v>
      </c>
      <c r="C1428" s="4" t="str">
        <f ca="1">IFERROR(__xludf.DUMMYFUNCTION("ARRAY_CONSTRAIN(ARRAYFORMULA(SINGLE(TEXTJOIN(""_"",TRUE,D1428,G1428))), 1, 1)"),"State Policy Network_2017")</f>
        <v>State Policy Network_2017</v>
      </c>
      <c r="D1428" s="4" t="s">
        <v>46</v>
      </c>
      <c r="E1428" s="8" t="s">
        <v>322</v>
      </c>
      <c r="F1428" s="6">
        <v>47500</v>
      </c>
      <c r="G1428" s="4">
        <v>2017</v>
      </c>
      <c r="H1428" s="4" t="s">
        <v>361</v>
      </c>
    </row>
    <row r="1429" spans="1:8" ht="15" customHeight="1" x14ac:dyDescent="0.2">
      <c r="A1429" s="4">
        <v>990</v>
      </c>
      <c r="B1429" s="4" t="str">
        <f t="shared" si="5"/>
        <v>State Policy Network_Pioneer Institute for Public Policy Research201725000</v>
      </c>
      <c r="C1429" s="4" t="str">
        <f ca="1">IFERROR(__xludf.DUMMYFUNCTION("ARRAY_CONSTRAIN(ARRAYFORMULA(SINGLE(TEXTJOIN(""_"",TRUE,D1429,G1429))), 1, 1)"),"State Policy Network_2017")</f>
        <v>State Policy Network_2017</v>
      </c>
      <c r="D1429" s="4" t="s">
        <v>46</v>
      </c>
      <c r="E1429" s="8" t="s">
        <v>325</v>
      </c>
      <c r="F1429" s="6">
        <v>25000</v>
      </c>
      <c r="G1429" s="4">
        <v>2017</v>
      </c>
      <c r="H1429" s="4" t="s">
        <v>361</v>
      </c>
    </row>
    <row r="1430" spans="1:8" ht="15" customHeight="1" x14ac:dyDescent="0.2">
      <c r="A1430" s="4">
        <v>990</v>
      </c>
      <c r="B1430" s="4" t="str">
        <f t="shared" si="5"/>
        <v>State Policy Network_Platte Institute for Economic Research201723750</v>
      </c>
      <c r="C1430" s="4" t="str">
        <f ca="1">IFERROR(__xludf.DUMMYFUNCTION("ARRAY_CONSTRAIN(ARRAYFORMULA(SINGLE(TEXTJOIN(""_"",TRUE,D1430,G1430))), 1, 1)"),"State Policy Network_2017")</f>
        <v>State Policy Network_2017</v>
      </c>
      <c r="D1430" s="4" t="s">
        <v>46</v>
      </c>
      <c r="E1430" s="8" t="s">
        <v>326</v>
      </c>
      <c r="F1430" s="6">
        <v>23750</v>
      </c>
      <c r="G1430" s="4">
        <v>2017</v>
      </c>
      <c r="H1430" s="4" t="s">
        <v>361</v>
      </c>
    </row>
    <row r="1431" spans="1:8" ht="15" customHeight="1" x14ac:dyDescent="0.2">
      <c r="A1431" s="4">
        <v>990</v>
      </c>
      <c r="B1431" s="4" t="str">
        <f t="shared" si="5"/>
        <v>State Policy Network_Show-Me Institute201770500</v>
      </c>
      <c r="C1431" s="4" t="str">
        <f ca="1">IFERROR(__xludf.DUMMYFUNCTION("ARRAY_CONSTRAIN(ARRAYFORMULA(SINGLE(TEXTJOIN(""_"",TRUE,D1431,G1431))), 1, 1)"),"State Policy Network_2017")</f>
        <v>State Policy Network_2017</v>
      </c>
      <c r="D1431" s="4" t="s">
        <v>46</v>
      </c>
      <c r="E1431" s="4" t="s">
        <v>332</v>
      </c>
      <c r="F1431" s="6">
        <v>70500</v>
      </c>
      <c r="G1431" s="4">
        <v>2017</v>
      </c>
      <c r="H1431" s="4" t="s">
        <v>361</v>
      </c>
    </row>
    <row r="1432" spans="1:8" ht="15" customHeight="1" x14ac:dyDescent="0.2">
      <c r="A1432" s="4">
        <v>990</v>
      </c>
      <c r="B1432" s="4" t="str">
        <f t="shared" si="5"/>
        <v>State Policy Network_Washington Policy Center201715250</v>
      </c>
      <c r="C1432" s="4" t="str">
        <f ca="1">IFERROR(__xludf.DUMMYFUNCTION("ARRAY_CONSTRAIN(ARRAYFORMULA(SINGLE(TEXTJOIN(""_"",TRUE,D1432,G1432))), 1, 1)"),"State Policy Network_2017")</f>
        <v>State Policy Network_2017</v>
      </c>
      <c r="D1432" s="4" t="s">
        <v>46</v>
      </c>
      <c r="E1432" s="8" t="s">
        <v>348</v>
      </c>
      <c r="F1432" s="6">
        <v>15250</v>
      </c>
      <c r="G1432" s="4">
        <v>2017</v>
      </c>
      <c r="H1432" s="4" t="s">
        <v>361</v>
      </c>
    </row>
    <row r="1433" spans="1:8" ht="15" customHeight="1" x14ac:dyDescent="0.2">
      <c r="A1433" s="4">
        <v>990</v>
      </c>
      <c r="B1433" s="4" t="str">
        <f t="shared" si="5"/>
        <v>State Policy Network_Wisconsin Institute for Law &amp; Liberty201755900</v>
      </c>
      <c r="C1433" s="4" t="str">
        <f ca="1">IFERROR(__xludf.DUMMYFUNCTION("ARRAY_CONSTRAIN(ARRAYFORMULA(SINGLE(TEXTJOIN(""_"",TRUE,D1433,G1433))), 1, 1)"),"State Policy Network_2017")</f>
        <v>State Policy Network_2017</v>
      </c>
      <c r="D1433" s="4" t="s">
        <v>46</v>
      </c>
      <c r="E1433" s="8" t="s">
        <v>350</v>
      </c>
      <c r="F1433" s="6">
        <v>55900</v>
      </c>
      <c r="G1433" s="4">
        <v>2017</v>
      </c>
      <c r="H1433" s="4" t="s">
        <v>361</v>
      </c>
    </row>
    <row r="1434" spans="1:8" ht="15" customHeight="1" x14ac:dyDescent="0.2">
      <c r="A1434" s="4">
        <v>990</v>
      </c>
      <c r="B1434" s="4" t="str">
        <f t="shared" si="5"/>
        <v>State Policy Network_Yankee Institute for Public Policy2017134300</v>
      </c>
      <c r="C1434" s="4" t="str">
        <f ca="1">IFERROR(__xludf.DUMMYFUNCTION("ARRAY_CONSTRAIN(ARRAYFORMULA(SINGLE(TEXTJOIN(""_"",TRUE,D1434,G1434))), 1, 1)"),"State Policy Network_2017")</f>
        <v>State Policy Network_2017</v>
      </c>
      <c r="D1434" s="4" t="s">
        <v>46</v>
      </c>
      <c r="E1434" s="8" t="s">
        <v>354</v>
      </c>
      <c r="F1434" s="6">
        <v>134300</v>
      </c>
      <c r="G1434" s="4">
        <v>2017</v>
      </c>
      <c r="H1434" s="4" t="s">
        <v>361</v>
      </c>
    </row>
    <row r="1435" spans="1:8" ht="15" customHeight="1" x14ac:dyDescent="0.2">
      <c r="A1435" s="4">
        <v>990</v>
      </c>
      <c r="B1435" s="4" t="s">
        <v>733</v>
      </c>
      <c r="C1435" s="4" t="str">
        <f ca="1">IFERROR(__xludf.DUMMYFUNCTION("ARRAY_CONSTRAIN(ARRAYFORMULA(SINGLE(TEXTJOIN(""_"",TRUE,D1435,G1435))), 1, 1)"),"State Policy Network_2016")</f>
        <v>State Policy Network_2016</v>
      </c>
      <c r="D1435" s="4" t="s">
        <v>46</v>
      </c>
      <c r="E1435" s="4" t="s">
        <v>237</v>
      </c>
      <c r="F1435" s="6">
        <v>12000</v>
      </c>
      <c r="G1435" s="4">
        <v>2016</v>
      </c>
      <c r="H1435" s="4" t="s">
        <v>361</v>
      </c>
    </row>
    <row r="1436" spans="1:8" ht="15" customHeight="1" x14ac:dyDescent="0.2">
      <c r="A1436" s="4">
        <v>990</v>
      </c>
      <c r="B1436" s="4" t="s">
        <v>734</v>
      </c>
      <c r="C1436" s="4" t="str">
        <f ca="1">IFERROR(__xludf.DUMMYFUNCTION("ARRAY_CONSTRAIN(ARRAYFORMULA(SINGLE(TEXTJOIN(""_"",TRUE,D1436,G1436))), 1, 1)"),"State Policy Network_2016")</f>
        <v>State Policy Network_2016</v>
      </c>
      <c r="D1436" s="4" t="s">
        <v>46</v>
      </c>
      <c r="E1436" s="4" t="s">
        <v>249</v>
      </c>
      <c r="F1436" s="6">
        <v>50350</v>
      </c>
      <c r="G1436" s="4">
        <v>2016</v>
      </c>
      <c r="H1436" s="4" t="s">
        <v>361</v>
      </c>
    </row>
    <row r="1437" spans="1:8" ht="15" customHeight="1" x14ac:dyDescent="0.2">
      <c r="A1437" s="4">
        <v>990</v>
      </c>
      <c r="B1437" s="4" t="s">
        <v>735</v>
      </c>
      <c r="C1437" s="4" t="str">
        <f ca="1">IFERROR(__xludf.DUMMYFUNCTION("ARRAY_CONSTRAIN(ARRAYFORMULA(SINGLE(TEXTJOIN(""_"",TRUE,D1437,G1437))), 1, 1)"),"State Policy Network_2016")</f>
        <v>State Policy Network_2016</v>
      </c>
      <c r="D1437" s="4" t="s">
        <v>46</v>
      </c>
      <c r="E1437" s="4" t="s">
        <v>252</v>
      </c>
      <c r="F1437" s="6">
        <v>22462</v>
      </c>
      <c r="G1437" s="4">
        <v>2016</v>
      </c>
      <c r="H1437" s="4" t="s">
        <v>361</v>
      </c>
    </row>
    <row r="1438" spans="1:8" ht="15" customHeight="1" x14ac:dyDescent="0.2">
      <c r="A1438" s="4">
        <v>990</v>
      </c>
      <c r="B1438" s="4" t="s">
        <v>736</v>
      </c>
      <c r="C1438" s="4" t="str">
        <f ca="1">IFERROR(__xludf.DUMMYFUNCTION("ARRAY_CONSTRAIN(ARRAYFORMULA(SINGLE(TEXTJOIN(""_"",TRUE,D1438,G1438))), 1, 1)"),"State Policy Network_2016")</f>
        <v>State Policy Network_2016</v>
      </c>
      <c r="D1438" s="4" t="s">
        <v>46</v>
      </c>
      <c r="E1438" s="4" t="s">
        <v>256</v>
      </c>
      <c r="F1438" s="6">
        <v>41000</v>
      </c>
      <c r="G1438" s="4">
        <v>2016</v>
      </c>
      <c r="H1438" s="4" t="s">
        <v>361</v>
      </c>
    </row>
    <row r="1439" spans="1:8" ht="15" customHeight="1" x14ac:dyDescent="0.2">
      <c r="A1439" s="4">
        <v>990</v>
      </c>
      <c r="B1439" s="4" t="s">
        <v>737</v>
      </c>
      <c r="C1439" s="4" t="str">
        <f ca="1">IFERROR(__xludf.DUMMYFUNCTION("ARRAY_CONSTRAIN(ARRAYFORMULA(SINGLE(TEXTJOIN(""_"",TRUE,D1439,G1439))), 1, 1)"),"State Policy Network_2016")</f>
        <v>State Policy Network_2016</v>
      </c>
      <c r="D1439" s="4" t="s">
        <v>46</v>
      </c>
      <c r="E1439" s="8" t="s">
        <v>259</v>
      </c>
      <c r="F1439" s="6">
        <v>50700</v>
      </c>
      <c r="G1439" s="4">
        <v>2016</v>
      </c>
      <c r="H1439" s="4" t="s">
        <v>361</v>
      </c>
    </row>
    <row r="1440" spans="1:8" ht="15" customHeight="1" x14ac:dyDescent="0.2">
      <c r="A1440" s="4">
        <v>990</v>
      </c>
      <c r="B1440" s="4" t="s">
        <v>738</v>
      </c>
      <c r="C1440" s="4" t="str">
        <f ca="1">IFERROR(__xludf.DUMMYFUNCTION("ARRAY_CONSTRAIN(ARRAYFORMULA(SINGLE(TEXTJOIN(""_"",TRUE,D1440,G1440))), 1, 1)"),"State Policy Network_2016")</f>
        <v>State Policy Network_2016</v>
      </c>
      <c r="D1440" s="4" t="s">
        <v>46</v>
      </c>
      <c r="E1440" s="4" t="s">
        <v>262</v>
      </c>
      <c r="F1440" s="6">
        <v>47850</v>
      </c>
      <c r="G1440" s="4">
        <v>2016</v>
      </c>
      <c r="H1440" s="4" t="s">
        <v>361</v>
      </c>
    </row>
    <row r="1441" spans="1:9" ht="15" customHeight="1" x14ac:dyDescent="0.2">
      <c r="A1441" s="4">
        <v>990</v>
      </c>
      <c r="B1441" s="4" t="s">
        <v>739</v>
      </c>
      <c r="C1441" s="4" t="str">
        <f ca="1">IFERROR(__xludf.DUMMYFUNCTION("ARRAY_CONSTRAIN(ARRAYFORMULA(SINGLE(TEXTJOIN(""_"",TRUE,D1441,G1441))), 1, 1)"),"State Policy Network_2016")</f>
        <v>State Policy Network_2016</v>
      </c>
      <c r="D1441" s="4" t="s">
        <v>46</v>
      </c>
      <c r="E1441" s="4" t="s">
        <v>268</v>
      </c>
      <c r="F1441" s="6">
        <v>50000</v>
      </c>
      <c r="G1441" s="4">
        <v>2016</v>
      </c>
      <c r="H1441" s="4" t="s">
        <v>361</v>
      </c>
    </row>
    <row r="1442" spans="1:9" ht="15" customHeight="1" x14ac:dyDescent="0.2">
      <c r="A1442" s="4">
        <v>990</v>
      </c>
      <c r="B1442" s="4" t="s">
        <v>740</v>
      </c>
      <c r="C1442" s="4" t="str">
        <f ca="1">IFERROR(__xludf.DUMMYFUNCTION("ARRAY_CONSTRAIN(ARRAYFORMULA(SINGLE(TEXTJOIN(""_"",TRUE,D1442,G1442))), 1, 1)"),"State Policy Network_2016")</f>
        <v>State Policy Network_2016</v>
      </c>
      <c r="D1442" s="4" t="s">
        <v>46</v>
      </c>
      <c r="E1442" s="4" t="s">
        <v>275</v>
      </c>
      <c r="F1442" s="6">
        <v>50000</v>
      </c>
      <c r="G1442" s="4">
        <v>2016</v>
      </c>
      <c r="H1442" s="4" t="s">
        <v>361</v>
      </c>
    </row>
    <row r="1443" spans="1:9" ht="15" customHeight="1" x14ac:dyDescent="0.2">
      <c r="A1443" s="4">
        <v>990</v>
      </c>
      <c r="B1443" s="4" t="s">
        <v>741</v>
      </c>
      <c r="C1443" s="4" t="str">
        <f ca="1">IFERROR(__xludf.DUMMYFUNCTION("ARRAY_CONSTRAIN(ARRAYFORMULA(SINGLE(TEXTJOIN(""_"",TRUE,D1443,G1443))), 1, 1)"),"State Policy Network_2016")</f>
        <v>State Policy Network_2016</v>
      </c>
      <c r="D1443" s="4" t="s">
        <v>46</v>
      </c>
      <c r="E1443" s="4" t="s">
        <v>278</v>
      </c>
      <c r="F1443" s="6">
        <v>20000</v>
      </c>
      <c r="G1443" s="4">
        <v>2016</v>
      </c>
      <c r="H1443" s="4" t="s">
        <v>361</v>
      </c>
    </row>
    <row r="1444" spans="1:9" ht="15" customHeight="1" x14ac:dyDescent="0.2">
      <c r="A1444" s="4">
        <v>990</v>
      </c>
      <c r="B1444" s="4" t="s">
        <v>742</v>
      </c>
      <c r="C1444" s="4" t="str">
        <f ca="1">IFERROR(__xludf.DUMMYFUNCTION("ARRAY_CONSTRAIN(ARRAYFORMULA(SINGLE(TEXTJOIN(""_"",TRUE,D1444,G1444))), 1, 1)"),"State Policy Network_2016")</f>
        <v>State Policy Network_2016</v>
      </c>
      <c r="D1444" s="4" t="s">
        <v>46</v>
      </c>
      <c r="E1444" s="4" t="s">
        <v>285</v>
      </c>
      <c r="F1444" s="6">
        <v>38350</v>
      </c>
      <c r="G1444" s="4">
        <v>2016</v>
      </c>
      <c r="H1444" s="4" t="s">
        <v>361</v>
      </c>
    </row>
    <row r="1445" spans="1:9" ht="15" customHeight="1" x14ac:dyDescent="0.2">
      <c r="A1445" s="4">
        <v>990</v>
      </c>
      <c r="B1445" s="4" t="s">
        <v>743</v>
      </c>
      <c r="C1445" s="4" t="str">
        <f ca="1">IFERROR(__xludf.DUMMYFUNCTION("ARRAY_CONSTRAIN(ARRAYFORMULA(SINGLE(TEXTJOIN(""_"",TRUE,D1445,G1445))), 1, 1)"),"State Policy Network_2016")</f>
        <v>State Policy Network_2016</v>
      </c>
      <c r="D1445" s="4" t="s">
        <v>46</v>
      </c>
      <c r="E1445" s="4" t="s">
        <v>286</v>
      </c>
      <c r="F1445" s="6">
        <v>150700</v>
      </c>
      <c r="G1445" s="4">
        <v>2016</v>
      </c>
      <c r="H1445" s="4" t="s">
        <v>361</v>
      </c>
    </row>
    <row r="1446" spans="1:9" ht="15" customHeight="1" x14ac:dyDescent="0.2">
      <c r="A1446" s="4">
        <v>990</v>
      </c>
      <c r="B1446" s="4" t="s">
        <v>744</v>
      </c>
      <c r="C1446" s="4" t="str">
        <f ca="1">IFERROR(__xludf.DUMMYFUNCTION("ARRAY_CONSTRAIN(ARRAYFORMULA(SINGLE(TEXTJOIN(""_"",TRUE,D1446,G1446))), 1, 1)"),"State Policy Network_2016")</f>
        <v>State Policy Network_2016</v>
      </c>
      <c r="D1446" s="4" t="s">
        <v>46</v>
      </c>
      <c r="E1446" s="4" t="s">
        <v>293</v>
      </c>
      <c r="F1446" s="6">
        <v>40000</v>
      </c>
      <c r="G1446" s="4">
        <v>2016</v>
      </c>
      <c r="H1446" s="4" t="s">
        <v>361</v>
      </c>
    </row>
    <row r="1447" spans="1:9" ht="15" customHeight="1" x14ac:dyDescent="0.2">
      <c r="A1447" s="4">
        <v>990</v>
      </c>
      <c r="B1447" s="4" t="s">
        <v>745</v>
      </c>
      <c r="C1447" s="4" t="str">
        <f ca="1">IFERROR(__xludf.DUMMYFUNCTION("ARRAY_CONSTRAIN(ARRAYFORMULA(SINGLE(TEXTJOIN(""_"",TRUE,D1447,G1447))), 1, 1)"),"State Policy Network_2016")</f>
        <v>State Policy Network_2016</v>
      </c>
      <c r="D1447" s="4" t="s">
        <v>46</v>
      </c>
      <c r="E1447" s="4" t="s">
        <v>303</v>
      </c>
      <c r="F1447" s="6">
        <v>41289</v>
      </c>
      <c r="G1447" s="4">
        <v>2016</v>
      </c>
      <c r="H1447" s="4" t="s">
        <v>361</v>
      </c>
    </row>
    <row r="1448" spans="1:9" ht="15" customHeight="1" x14ac:dyDescent="0.2">
      <c r="A1448" s="4">
        <v>990</v>
      </c>
      <c r="B1448" s="4" t="s">
        <v>746</v>
      </c>
      <c r="C1448" s="4" t="str">
        <f ca="1">IFERROR(__xludf.DUMMYFUNCTION("ARRAY_CONSTRAIN(ARRAYFORMULA(SINGLE(TEXTJOIN(""_"",TRUE,D1448,G1448))), 1, 1)"),"State Policy Network_2016")</f>
        <v>State Policy Network_2016</v>
      </c>
      <c r="D1448" s="4" t="s">
        <v>46</v>
      </c>
      <c r="E1448" s="4" t="s">
        <v>308</v>
      </c>
      <c r="F1448" s="6">
        <v>50000</v>
      </c>
      <c r="G1448" s="4">
        <v>2016</v>
      </c>
      <c r="H1448" s="4" t="s">
        <v>361</v>
      </c>
    </row>
    <row r="1449" spans="1:9" ht="15" customHeight="1" x14ac:dyDescent="0.2">
      <c r="A1449" s="4">
        <v>990</v>
      </c>
      <c r="B1449" s="4" t="s">
        <v>747</v>
      </c>
      <c r="C1449" s="4" t="str">
        <f ca="1">IFERROR(__xludf.DUMMYFUNCTION("ARRAY_CONSTRAIN(ARRAYFORMULA(SINGLE(TEXTJOIN(""_"",TRUE,D1449,G1449))), 1, 1)"),"State Policy Network_2016")</f>
        <v>State Policy Network_2016</v>
      </c>
      <c r="D1449" s="4" t="s">
        <v>46</v>
      </c>
      <c r="E1449" s="4" t="s">
        <v>310</v>
      </c>
      <c r="F1449" s="6">
        <v>21500</v>
      </c>
      <c r="G1449" s="4">
        <v>2016</v>
      </c>
      <c r="H1449" s="4" t="s">
        <v>361</v>
      </c>
    </row>
    <row r="1450" spans="1:9" ht="15" customHeight="1" x14ac:dyDescent="0.2">
      <c r="A1450" s="4">
        <v>990</v>
      </c>
      <c r="B1450" s="4" t="s">
        <v>748</v>
      </c>
      <c r="C1450" s="4" t="str">
        <f ca="1">IFERROR(__xludf.DUMMYFUNCTION("ARRAY_CONSTRAIN(ARRAYFORMULA(SINGLE(TEXTJOIN(""_"",TRUE,D1450,G1450))), 1, 1)"),"State Policy Network_2016")</f>
        <v>State Policy Network_2016</v>
      </c>
      <c r="D1450" s="4" t="s">
        <v>46</v>
      </c>
      <c r="E1450" s="4" t="s">
        <v>322</v>
      </c>
      <c r="F1450" s="6">
        <v>35000</v>
      </c>
      <c r="G1450" s="4">
        <v>2016</v>
      </c>
      <c r="H1450" s="4" t="s">
        <v>361</v>
      </c>
    </row>
    <row r="1451" spans="1:9" ht="15" customHeight="1" x14ac:dyDescent="0.2">
      <c r="A1451" s="4">
        <v>990</v>
      </c>
      <c r="B1451" s="4" t="s">
        <v>749</v>
      </c>
      <c r="C1451" s="4" t="str">
        <f ca="1">IFERROR(__xludf.DUMMYFUNCTION("ARRAY_CONSTRAIN(ARRAYFORMULA(SINGLE(TEXTJOIN(""_"",TRUE,D1451,G1451))), 1, 1)"),"State Policy Network_2016")</f>
        <v>State Policy Network_2016</v>
      </c>
      <c r="D1451" s="4" t="s">
        <v>46</v>
      </c>
      <c r="E1451" s="4" t="s">
        <v>326</v>
      </c>
      <c r="F1451" s="6">
        <v>46000</v>
      </c>
      <c r="G1451" s="4">
        <v>2016</v>
      </c>
      <c r="H1451" s="4" t="s">
        <v>361</v>
      </c>
    </row>
    <row r="1452" spans="1:9" ht="15" customHeight="1" x14ac:dyDescent="0.2">
      <c r="A1452" s="4">
        <v>990</v>
      </c>
      <c r="B1452" s="4" t="s">
        <v>750</v>
      </c>
      <c r="C1452" s="4" t="str">
        <f ca="1">IFERROR(__xludf.DUMMYFUNCTION("ARRAY_CONSTRAIN(ARRAYFORMULA(SINGLE(TEXTJOIN(""_"",TRUE,D1452,G1452))), 1, 1)"),"State Policy Network_2016")</f>
        <v>State Policy Network_2016</v>
      </c>
      <c r="D1452" s="4" t="s">
        <v>46</v>
      </c>
      <c r="E1452" s="4" t="s">
        <v>334</v>
      </c>
      <c r="F1452" s="6">
        <v>8000</v>
      </c>
      <c r="G1452" s="4">
        <v>2016</v>
      </c>
      <c r="H1452" s="4" t="s">
        <v>361</v>
      </c>
      <c r="I1452" s="4" t="s">
        <v>751</v>
      </c>
    </row>
    <row r="1453" spans="1:9" ht="15" customHeight="1" x14ac:dyDescent="0.2">
      <c r="A1453" s="4">
        <v>990</v>
      </c>
      <c r="B1453" s="4" t="s">
        <v>752</v>
      </c>
      <c r="C1453" s="4" t="str">
        <f ca="1">IFERROR(__xludf.DUMMYFUNCTION("ARRAY_CONSTRAIN(ARRAYFORMULA(SINGLE(TEXTJOIN(""_"",TRUE,D1453,G1453))), 1, 1)"),"State Policy Network_2016")</f>
        <v>State Policy Network_2016</v>
      </c>
      <c r="D1453" s="4" t="s">
        <v>46</v>
      </c>
      <c r="E1453" s="4" t="s">
        <v>342</v>
      </c>
      <c r="F1453" s="6">
        <v>12000</v>
      </c>
      <c r="G1453" s="4">
        <v>2016</v>
      </c>
      <c r="H1453" s="4" t="s">
        <v>361</v>
      </c>
    </row>
    <row r="1454" spans="1:9" ht="15" customHeight="1" x14ac:dyDescent="0.2">
      <c r="A1454" s="4">
        <v>990</v>
      </c>
      <c r="B1454" s="4" t="s">
        <v>753</v>
      </c>
      <c r="C1454" s="4" t="str">
        <f ca="1">IFERROR(__xludf.DUMMYFUNCTION("ARRAY_CONSTRAIN(ARRAYFORMULA(SINGLE(TEXTJOIN(""_"",TRUE,D1454,G1454))), 1, 1)"),"State Policy Network_2016")</f>
        <v>State Policy Network_2016</v>
      </c>
      <c r="D1454" s="4" t="s">
        <v>46</v>
      </c>
      <c r="E1454" s="4" t="s">
        <v>291</v>
      </c>
      <c r="F1454" s="6">
        <v>45500</v>
      </c>
      <c r="G1454" s="4">
        <v>2016</v>
      </c>
      <c r="H1454" s="4" t="s">
        <v>361</v>
      </c>
    </row>
    <row r="1455" spans="1:9" ht="15" customHeight="1" x14ac:dyDescent="0.2">
      <c r="A1455" s="4">
        <v>990</v>
      </c>
      <c r="B1455" s="4" t="s">
        <v>754</v>
      </c>
      <c r="C1455" s="4" t="str">
        <f ca="1">IFERROR(__xludf.DUMMYFUNCTION("ARRAY_CONSTRAIN(ARRAYFORMULA(SINGLE(TEXTJOIN(""_"",TRUE,D1455,G1455))), 1, 1)"),"State Policy Network_2016")</f>
        <v>State Policy Network_2016</v>
      </c>
      <c r="D1455" s="4" t="s">
        <v>46</v>
      </c>
      <c r="E1455" s="4" t="s">
        <v>332</v>
      </c>
      <c r="F1455" s="6">
        <v>40950</v>
      </c>
      <c r="G1455" s="4">
        <v>2016</v>
      </c>
      <c r="H1455" s="4" t="s">
        <v>361</v>
      </c>
    </row>
    <row r="1456" spans="1:9" ht="15" customHeight="1" x14ac:dyDescent="0.2">
      <c r="A1456" s="4">
        <v>990</v>
      </c>
      <c r="B1456" s="4" t="s">
        <v>755</v>
      </c>
      <c r="C1456" s="4" t="str">
        <f ca="1">IFERROR(__xludf.DUMMYFUNCTION("ARRAY_CONSTRAIN(ARRAYFORMULA(SINGLE(TEXTJOIN(""_"",TRUE,D1456,G1456))), 1, 1)"),"State Policy Network_2016")</f>
        <v>State Policy Network_2016</v>
      </c>
      <c r="D1456" s="4" t="s">
        <v>46</v>
      </c>
      <c r="E1456" s="8" t="s">
        <v>350</v>
      </c>
      <c r="F1456" s="6">
        <v>42375</v>
      </c>
      <c r="G1456" s="4">
        <v>2016</v>
      </c>
      <c r="H1456" s="4" t="s">
        <v>361</v>
      </c>
    </row>
    <row r="1457" spans="1:9" ht="15" customHeight="1" x14ac:dyDescent="0.2">
      <c r="A1457" s="4">
        <v>990</v>
      </c>
      <c r="B1457" s="4" t="s">
        <v>756</v>
      </c>
      <c r="C1457" s="4" t="str">
        <f ca="1">IFERROR(__xludf.DUMMYFUNCTION("ARRAY_CONSTRAIN(ARRAYFORMULA(SINGLE(TEXTJOIN(""_"",TRUE,D1457,G1457))), 1, 1)"),"State Policy Network_2015")</f>
        <v>State Policy Network_2015</v>
      </c>
      <c r="D1457" s="4" t="s">
        <v>46</v>
      </c>
      <c r="E1457" s="4" t="s">
        <v>235</v>
      </c>
      <c r="F1457" s="6">
        <v>35000</v>
      </c>
      <c r="G1457" s="4">
        <v>2015</v>
      </c>
      <c r="H1457" s="4" t="s">
        <v>361</v>
      </c>
    </row>
    <row r="1458" spans="1:9" ht="15" customHeight="1" x14ac:dyDescent="0.2">
      <c r="A1458" s="4">
        <v>990</v>
      </c>
      <c r="B1458" s="4" t="s">
        <v>757</v>
      </c>
      <c r="C1458" s="4" t="str">
        <f ca="1">IFERROR(__xludf.DUMMYFUNCTION("ARRAY_CONSTRAIN(ARRAYFORMULA(SINGLE(TEXTJOIN(""_"",TRUE,D1458,G1458))), 1, 1)"),"State Policy Network_2015")</f>
        <v>State Policy Network_2015</v>
      </c>
      <c r="D1458" s="4" t="s">
        <v>46</v>
      </c>
      <c r="E1458" s="4" t="s">
        <v>252</v>
      </c>
      <c r="F1458" s="6">
        <v>201250</v>
      </c>
      <c r="G1458" s="4">
        <v>2015</v>
      </c>
      <c r="H1458" s="4" t="s">
        <v>361</v>
      </c>
    </row>
    <row r="1459" spans="1:9" ht="15" customHeight="1" x14ac:dyDescent="0.2">
      <c r="A1459" s="4">
        <v>990</v>
      </c>
      <c r="B1459" s="4" t="s">
        <v>758</v>
      </c>
      <c r="C1459" s="4" t="str">
        <f ca="1">IFERROR(__xludf.DUMMYFUNCTION("ARRAY_CONSTRAIN(ARRAYFORMULA(SINGLE(TEXTJOIN(""_"",TRUE,D1459,G1459))), 1, 1)"),"State Policy Network_2015")</f>
        <v>State Policy Network_2015</v>
      </c>
      <c r="D1459" s="4" t="s">
        <v>46</v>
      </c>
      <c r="E1459" s="4" t="s">
        <v>254</v>
      </c>
      <c r="F1459" s="6">
        <v>50000</v>
      </c>
      <c r="G1459" s="4">
        <v>2015</v>
      </c>
      <c r="H1459" s="4" t="s">
        <v>361</v>
      </c>
    </row>
    <row r="1460" spans="1:9" ht="15" customHeight="1" x14ac:dyDescent="0.2">
      <c r="A1460" s="4">
        <v>990</v>
      </c>
      <c r="B1460" s="4" t="s">
        <v>759</v>
      </c>
      <c r="C1460" s="4" t="str">
        <f ca="1">IFERROR(__xludf.DUMMYFUNCTION("ARRAY_CONSTRAIN(ARRAYFORMULA(SINGLE(TEXTJOIN(""_"",TRUE,D1460,G1460))), 1, 1)"),"State Policy Network_2015")</f>
        <v>State Policy Network_2015</v>
      </c>
      <c r="D1460" s="4" t="s">
        <v>46</v>
      </c>
      <c r="E1460" s="4" t="s">
        <v>255</v>
      </c>
      <c r="F1460" s="6">
        <v>37000</v>
      </c>
      <c r="G1460" s="4">
        <v>2015</v>
      </c>
      <c r="H1460" s="4" t="s">
        <v>361</v>
      </c>
    </row>
    <row r="1461" spans="1:9" ht="15" customHeight="1" x14ac:dyDescent="0.2">
      <c r="A1461" s="4">
        <v>990</v>
      </c>
      <c r="B1461" s="4" t="s">
        <v>760</v>
      </c>
      <c r="C1461" s="4" t="str">
        <f ca="1">IFERROR(__xludf.DUMMYFUNCTION("ARRAY_CONSTRAIN(ARRAYFORMULA(SINGLE(TEXTJOIN(""_"",TRUE,D1461,G1461))), 1, 1)"),"State Policy Network_2015")</f>
        <v>State Policy Network_2015</v>
      </c>
      <c r="D1461" s="4" t="s">
        <v>46</v>
      </c>
      <c r="E1461" s="4" t="s">
        <v>256</v>
      </c>
      <c r="F1461" s="6">
        <v>83000</v>
      </c>
      <c r="G1461" s="4">
        <v>2015</v>
      </c>
      <c r="H1461" s="4" t="s">
        <v>361</v>
      </c>
    </row>
    <row r="1462" spans="1:9" ht="15" customHeight="1" x14ac:dyDescent="0.2">
      <c r="A1462" s="4">
        <v>990</v>
      </c>
      <c r="B1462" s="4" t="s">
        <v>761</v>
      </c>
      <c r="C1462" s="4" t="str">
        <f ca="1">IFERROR(__xludf.DUMMYFUNCTION("ARRAY_CONSTRAIN(ARRAYFORMULA(SINGLE(TEXTJOIN(""_"",TRUE,D1462,G1462))), 1, 1)"),"State Policy Network_2015")</f>
        <v>State Policy Network_2015</v>
      </c>
      <c r="D1462" s="4" t="s">
        <v>46</v>
      </c>
      <c r="E1462" s="4" t="s">
        <v>264</v>
      </c>
      <c r="F1462" s="6">
        <v>42300</v>
      </c>
      <c r="G1462" s="4">
        <v>2015</v>
      </c>
      <c r="H1462" s="4" t="s">
        <v>361</v>
      </c>
    </row>
    <row r="1463" spans="1:9" ht="15" customHeight="1" x14ac:dyDescent="0.2">
      <c r="A1463" s="4">
        <v>990</v>
      </c>
      <c r="B1463" s="4" t="s">
        <v>762</v>
      </c>
      <c r="C1463" s="4" t="str">
        <f ca="1">IFERROR(__xludf.DUMMYFUNCTION("ARRAY_CONSTRAIN(ARRAYFORMULA(SINGLE(TEXTJOIN(""_"",TRUE,D1463,G1463))), 1, 1)"),"State Policy Network_2015")</f>
        <v>State Policy Network_2015</v>
      </c>
      <c r="D1463" s="4" t="s">
        <v>46</v>
      </c>
      <c r="E1463" s="4" t="s">
        <v>268</v>
      </c>
      <c r="F1463" s="6">
        <v>60000</v>
      </c>
      <c r="G1463" s="4">
        <v>2015</v>
      </c>
      <c r="H1463" s="4" t="s">
        <v>361</v>
      </c>
    </row>
    <row r="1464" spans="1:9" ht="15" customHeight="1" x14ac:dyDescent="0.2">
      <c r="A1464" s="4">
        <v>990</v>
      </c>
      <c r="B1464" s="4" t="s">
        <v>763</v>
      </c>
      <c r="C1464" s="4" t="str">
        <f ca="1">IFERROR(__xludf.DUMMYFUNCTION("ARRAY_CONSTRAIN(ARRAYFORMULA(SINGLE(TEXTJOIN(""_"",TRUE,D1464,G1464))), 1, 1)"),"State Policy Network_2015")</f>
        <v>State Policy Network_2015</v>
      </c>
      <c r="D1464" s="4" t="s">
        <v>46</v>
      </c>
      <c r="E1464" s="4" t="s">
        <v>277</v>
      </c>
      <c r="F1464" s="6">
        <v>7000</v>
      </c>
      <c r="G1464" s="4">
        <v>2015</v>
      </c>
      <c r="H1464" s="4" t="s">
        <v>361</v>
      </c>
    </row>
    <row r="1465" spans="1:9" ht="15" customHeight="1" x14ac:dyDescent="0.2">
      <c r="A1465" s="4">
        <v>990</v>
      </c>
      <c r="B1465" s="4" t="s">
        <v>764</v>
      </c>
      <c r="C1465" s="4" t="str">
        <f ca="1">IFERROR(__xludf.DUMMYFUNCTION("ARRAY_CONSTRAIN(ARRAYFORMULA(SINGLE(TEXTJOIN(""_"",TRUE,D1465,G1465))), 1, 1)"),"State Policy Network_2015")</f>
        <v>State Policy Network_2015</v>
      </c>
      <c r="D1465" s="4" t="s">
        <v>46</v>
      </c>
      <c r="E1465" s="4" t="s">
        <v>279</v>
      </c>
      <c r="F1465" s="6">
        <v>12500</v>
      </c>
      <c r="G1465" s="4">
        <v>2015</v>
      </c>
      <c r="H1465" s="4" t="s">
        <v>361</v>
      </c>
      <c r="I1465" s="4" t="s">
        <v>765</v>
      </c>
    </row>
    <row r="1466" spans="1:9" ht="15" customHeight="1" x14ac:dyDescent="0.2">
      <c r="A1466" s="4">
        <v>990</v>
      </c>
      <c r="B1466" s="4" t="s">
        <v>766</v>
      </c>
      <c r="C1466" s="4" t="str">
        <f ca="1">IFERROR(__xludf.DUMMYFUNCTION("ARRAY_CONSTRAIN(ARRAYFORMULA(SINGLE(TEXTJOIN(""_"",TRUE,D1466,G1466))), 1, 1)"),"State Policy Network_2015")</f>
        <v>State Policy Network_2015</v>
      </c>
      <c r="D1466" s="4" t="s">
        <v>46</v>
      </c>
      <c r="E1466" s="4" t="s">
        <v>286</v>
      </c>
      <c r="F1466" s="6">
        <v>126300</v>
      </c>
      <c r="G1466" s="4">
        <v>2015</v>
      </c>
      <c r="H1466" s="4" t="s">
        <v>361</v>
      </c>
    </row>
    <row r="1467" spans="1:9" ht="15" customHeight="1" x14ac:dyDescent="0.2">
      <c r="A1467" s="4">
        <v>990</v>
      </c>
      <c r="B1467" s="4" t="s">
        <v>767</v>
      </c>
      <c r="C1467" s="4" t="str">
        <f ca="1">IFERROR(__xludf.DUMMYFUNCTION("ARRAY_CONSTRAIN(ARRAYFORMULA(SINGLE(TEXTJOIN(""_"",TRUE,D1467,G1467))), 1, 1)"),"State Policy Network_2015")</f>
        <v>State Policy Network_2015</v>
      </c>
      <c r="D1467" s="4" t="s">
        <v>46</v>
      </c>
      <c r="E1467" s="4" t="s">
        <v>287</v>
      </c>
      <c r="F1467" s="6">
        <v>80000</v>
      </c>
      <c r="G1467" s="4">
        <v>2015</v>
      </c>
      <c r="H1467" s="4" t="s">
        <v>361</v>
      </c>
    </row>
    <row r="1468" spans="1:9" ht="15" customHeight="1" x14ac:dyDescent="0.2">
      <c r="A1468" s="4">
        <v>990</v>
      </c>
      <c r="B1468" s="4" t="s">
        <v>768</v>
      </c>
      <c r="C1468" s="4" t="str">
        <f ca="1">IFERROR(__xludf.DUMMYFUNCTION("ARRAY_CONSTRAIN(ARRAYFORMULA(SINGLE(TEXTJOIN(""_"",TRUE,D1468,G1468))), 1, 1)"),"State Policy Network_2015")</f>
        <v>State Policy Network_2015</v>
      </c>
      <c r="D1468" s="4" t="s">
        <v>46</v>
      </c>
      <c r="E1468" s="4" t="s">
        <v>296</v>
      </c>
      <c r="F1468" s="6">
        <v>7500</v>
      </c>
      <c r="G1468" s="4">
        <v>2015</v>
      </c>
      <c r="H1468" s="4" t="s">
        <v>361</v>
      </c>
    </row>
    <row r="1469" spans="1:9" ht="15" customHeight="1" x14ac:dyDescent="0.2">
      <c r="A1469" s="4">
        <v>990</v>
      </c>
      <c r="B1469" s="4" t="s">
        <v>769</v>
      </c>
      <c r="C1469" s="4" t="str">
        <f ca="1">IFERROR(__xludf.DUMMYFUNCTION("ARRAY_CONSTRAIN(ARRAYFORMULA(SINGLE(TEXTJOIN(""_"",TRUE,D1469,G1469))), 1, 1)"),"State Policy Network_2015")</f>
        <v>State Policy Network_2015</v>
      </c>
      <c r="D1469" s="4" t="s">
        <v>46</v>
      </c>
      <c r="E1469" s="4" t="s">
        <v>303</v>
      </c>
      <c r="F1469" s="6">
        <v>45000</v>
      </c>
      <c r="G1469" s="4">
        <v>2015</v>
      </c>
      <c r="H1469" s="4" t="s">
        <v>361</v>
      </c>
    </row>
    <row r="1470" spans="1:9" ht="15" customHeight="1" x14ac:dyDescent="0.2">
      <c r="A1470" s="4">
        <v>990</v>
      </c>
      <c r="B1470" s="4" t="s">
        <v>770</v>
      </c>
      <c r="C1470" s="4" t="str">
        <f ca="1">IFERROR(__xludf.DUMMYFUNCTION("ARRAY_CONSTRAIN(ARRAYFORMULA(SINGLE(TEXTJOIN(""_"",TRUE,D1470,G1470))), 1, 1)"),"State Policy Network_2015")</f>
        <v>State Policy Network_2015</v>
      </c>
      <c r="D1470" s="4" t="s">
        <v>46</v>
      </c>
      <c r="E1470" s="4" t="s">
        <v>308</v>
      </c>
      <c r="F1470" s="6">
        <v>25000</v>
      </c>
      <c r="G1470" s="4">
        <v>2015</v>
      </c>
      <c r="H1470" s="4" t="s">
        <v>361</v>
      </c>
    </row>
    <row r="1471" spans="1:9" ht="15" customHeight="1" x14ac:dyDescent="0.2">
      <c r="A1471" s="4">
        <v>990</v>
      </c>
      <c r="B1471" s="4" t="s">
        <v>771</v>
      </c>
      <c r="C1471" s="4" t="str">
        <f ca="1">IFERROR(__xludf.DUMMYFUNCTION("ARRAY_CONSTRAIN(ARRAYFORMULA(SINGLE(TEXTJOIN(""_"",TRUE,D1471,G1471))), 1, 1)"),"State Policy Network_2015")</f>
        <v>State Policy Network_2015</v>
      </c>
      <c r="D1471" s="4" t="s">
        <v>46</v>
      </c>
      <c r="E1471" s="4" t="s">
        <v>315</v>
      </c>
      <c r="F1471" s="6">
        <v>55300</v>
      </c>
      <c r="G1471" s="4">
        <v>2015</v>
      </c>
      <c r="H1471" s="4" t="s">
        <v>361</v>
      </c>
    </row>
    <row r="1472" spans="1:9" ht="15" customHeight="1" x14ac:dyDescent="0.2">
      <c r="A1472" s="4">
        <v>990</v>
      </c>
      <c r="B1472" s="4" t="s">
        <v>772</v>
      </c>
      <c r="C1472" s="4" t="str">
        <f ca="1">IFERROR(__xludf.DUMMYFUNCTION("ARRAY_CONSTRAIN(ARRAYFORMULA(SINGLE(TEXTJOIN(""_"",TRUE,D1472,G1472))), 1, 1)"),"State Policy Network_2015")</f>
        <v>State Policy Network_2015</v>
      </c>
      <c r="D1472" s="4" t="s">
        <v>46</v>
      </c>
      <c r="E1472" s="4" t="s">
        <v>322</v>
      </c>
      <c r="F1472" s="6">
        <v>19000</v>
      </c>
      <c r="G1472" s="4">
        <v>2015</v>
      </c>
      <c r="H1472" s="4" t="s">
        <v>361</v>
      </c>
    </row>
    <row r="1473" spans="1:8" ht="15" customHeight="1" x14ac:dyDescent="0.2">
      <c r="A1473" s="4">
        <v>990</v>
      </c>
      <c r="B1473" s="4" t="s">
        <v>773</v>
      </c>
      <c r="C1473" s="4" t="str">
        <f ca="1">IFERROR(__xludf.DUMMYFUNCTION("ARRAY_CONSTRAIN(ARRAYFORMULA(SINGLE(TEXTJOIN(""_"",TRUE,D1473,G1473))), 1, 1)"),"State Policy Network_2015")</f>
        <v>State Policy Network_2015</v>
      </c>
      <c r="D1473" s="4" t="s">
        <v>46</v>
      </c>
      <c r="E1473" s="8" t="s">
        <v>325</v>
      </c>
      <c r="F1473" s="6">
        <v>40000</v>
      </c>
      <c r="G1473" s="4">
        <v>2015</v>
      </c>
      <c r="H1473" s="4" t="s">
        <v>361</v>
      </c>
    </row>
    <row r="1474" spans="1:8" ht="15" customHeight="1" x14ac:dyDescent="0.2">
      <c r="A1474" s="4">
        <v>990</v>
      </c>
      <c r="B1474" s="4" t="s">
        <v>774</v>
      </c>
      <c r="C1474" s="4" t="str">
        <f ca="1">IFERROR(__xludf.DUMMYFUNCTION("ARRAY_CONSTRAIN(ARRAYFORMULA(SINGLE(TEXTJOIN(""_"",TRUE,D1474,G1474))), 1, 1)"),"State Policy Network_2015")</f>
        <v>State Policy Network_2015</v>
      </c>
      <c r="D1474" s="4" t="s">
        <v>46</v>
      </c>
      <c r="E1474" s="4" t="s">
        <v>330</v>
      </c>
      <c r="F1474" s="6">
        <v>49000</v>
      </c>
      <c r="G1474" s="4">
        <v>2015</v>
      </c>
      <c r="H1474" s="4" t="s">
        <v>361</v>
      </c>
    </row>
    <row r="1475" spans="1:8" ht="15" customHeight="1" x14ac:dyDescent="0.2">
      <c r="A1475" s="4">
        <v>990</v>
      </c>
      <c r="B1475" s="4" t="s">
        <v>775</v>
      </c>
      <c r="C1475" s="4" t="str">
        <f ca="1">IFERROR(__xludf.DUMMYFUNCTION("ARRAY_CONSTRAIN(ARRAYFORMULA(SINGLE(TEXTJOIN(""_"",TRUE,D1475,G1475))), 1, 1)"),"State Policy Network_2015")</f>
        <v>State Policy Network_2015</v>
      </c>
      <c r="D1475" s="4" t="s">
        <v>46</v>
      </c>
      <c r="E1475" s="4" t="s">
        <v>337</v>
      </c>
      <c r="F1475" s="6">
        <v>50000</v>
      </c>
      <c r="G1475" s="4">
        <v>2015</v>
      </c>
      <c r="H1475" s="4" t="s">
        <v>361</v>
      </c>
    </row>
    <row r="1476" spans="1:8" ht="15" customHeight="1" x14ac:dyDescent="0.2">
      <c r="A1476" s="4">
        <v>990</v>
      </c>
      <c r="B1476" s="4" t="s">
        <v>776</v>
      </c>
      <c r="C1476" s="4" t="str">
        <f ca="1">IFERROR(__xludf.DUMMYFUNCTION("ARRAY_CONSTRAIN(ARRAYFORMULA(SINGLE(TEXTJOIN(""_"",TRUE,D1476,G1476))), 1, 1)"),"State Policy Network_2015")</f>
        <v>State Policy Network_2015</v>
      </c>
      <c r="D1476" s="4" t="s">
        <v>46</v>
      </c>
      <c r="E1476" s="4" t="s">
        <v>338</v>
      </c>
      <c r="F1476" s="6">
        <v>5000</v>
      </c>
      <c r="G1476" s="4">
        <v>2015</v>
      </c>
      <c r="H1476" s="4" t="s">
        <v>361</v>
      </c>
    </row>
    <row r="1477" spans="1:8" ht="15" customHeight="1" x14ac:dyDescent="0.2">
      <c r="A1477" s="4">
        <v>990</v>
      </c>
      <c r="B1477" s="4" t="s">
        <v>777</v>
      </c>
      <c r="C1477" s="4" t="str">
        <f ca="1">IFERROR(__xludf.DUMMYFUNCTION("ARRAY_CONSTRAIN(ARRAYFORMULA(SINGLE(TEXTJOIN(""_"",TRUE,D1477,G1477))), 1, 1)"),"State Policy Network_2015")</f>
        <v>State Policy Network_2015</v>
      </c>
      <c r="D1477" s="4" t="s">
        <v>46</v>
      </c>
      <c r="E1477" s="4" t="s">
        <v>291</v>
      </c>
      <c r="F1477" s="6">
        <v>41000</v>
      </c>
      <c r="G1477" s="4">
        <v>2015</v>
      </c>
      <c r="H1477" s="4" t="s">
        <v>361</v>
      </c>
    </row>
    <row r="1478" spans="1:8" ht="15" customHeight="1" x14ac:dyDescent="0.2">
      <c r="A1478" s="4">
        <v>990</v>
      </c>
      <c r="B1478" s="4" t="s">
        <v>778</v>
      </c>
      <c r="C1478" s="4" t="str">
        <f ca="1">IFERROR(__xludf.DUMMYFUNCTION("ARRAY_CONSTRAIN(ARRAYFORMULA(SINGLE(TEXTJOIN(""_"",TRUE,D1478,G1478))), 1, 1)"),"State Policy Network_2015")</f>
        <v>State Policy Network_2015</v>
      </c>
      <c r="D1478" s="4" t="s">
        <v>46</v>
      </c>
      <c r="E1478" s="4" t="s">
        <v>332</v>
      </c>
      <c r="F1478" s="6">
        <v>42500</v>
      </c>
      <c r="G1478" s="4">
        <v>2015</v>
      </c>
      <c r="H1478" s="4" t="s">
        <v>361</v>
      </c>
    </row>
    <row r="1479" spans="1:8" ht="15" customHeight="1" x14ac:dyDescent="0.2">
      <c r="A1479" s="4">
        <v>990</v>
      </c>
      <c r="B1479" s="4" t="s">
        <v>779</v>
      </c>
      <c r="C1479" s="4" t="str">
        <f ca="1">IFERROR(__xludf.DUMMYFUNCTION("ARRAY_CONSTRAIN(ARRAYFORMULA(SINGLE(TEXTJOIN(""_"",TRUE,D1479,G1479))), 1, 1)"),"State Policy Network_2015")</f>
        <v>State Policy Network_2015</v>
      </c>
      <c r="D1479" s="4" t="s">
        <v>46</v>
      </c>
      <c r="E1479" s="8" t="s">
        <v>354</v>
      </c>
      <c r="F1479" s="6">
        <v>82500</v>
      </c>
      <c r="G1479" s="4">
        <v>2015</v>
      </c>
      <c r="H1479" s="4" t="s">
        <v>361</v>
      </c>
    </row>
    <row r="1480" spans="1:8" ht="15" customHeight="1" x14ac:dyDescent="0.2">
      <c r="A1480" s="4" t="s">
        <v>368</v>
      </c>
      <c r="B1480" s="4" t="s">
        <v>780</v>
      </c>
      <c r="C1480" s="4" t="str">
        <f ca="1">IFERROR(__xludf.DUMMYFUNCTION("ARRAY_CONSTRAIN(ARRAYFORMULA(SINGLE(TEXTJOIN(""_"",TRUE,D1480,G1480))), 1, 1)"),"State Policy Network_2014")</f>
        <v>State Policy Network_2014</v>
      </c>
      <c r="D1480" s="4" t="s">
        <v>46</v>
      </c>
      <c r="E1480" s="4" t="s">
        <v>234</v>
      </c>
      <c r="F1480" s="6">
        <v>26000</v>
      </c>
      <c r="G1480" s="4">
        <v>2014</v>
      </c>
      <c r="H1480" s="4" t="s">
        <v>359</v>
      </c>
    </row>
    <row r="1481" spans="1:8" ht="15" customHeight="1" x14ac:dyDescent="0.2">
      <c r="A1481" s="4" t="s">
        <v>368</v>
      </c>
      <c r="B1481" s="4" t="s">
        <v>781</v>
      </c>
      <c r="C1481" s="4" t="str">
        <f ca="1">IFERROR(__xludf.DUMMYFUNCTION("ARRAY_CONSTRAIN(ARRAYFORMULA(SINGLE(TEXTJOIN(""_"",TRUE,D1481,G1481))), 1, 1)"),"State Policy Network_2014")</f>
        <v>State Policy Network_2014</v>
      </c>
      <c r="D1481" s="4" t="s">
        <v>46</v>
      </c>
      <c r="E1481" s="4" t="s">
        <v>235</v>
      </c>
      <c r="F1481" s="6">
        <v>15000</v>
      </c>
      <c r="G1481" s="4">
        <v>2014</v>
      </c>
      <c r="H1481" s="4" t="s">
        <v>359</v>
      </c>
    </row>
    <row r="1482" spans="1:8" ht="15" customHeight="1" x14ac:dyDescent="0.2">
      <c r="A1482" s="4" t="s">
        <v>368</v>
      </c>
      <c r="B1482" s="4" t="s">
        <v>782</v>
      </c>
      <c r="C1482" s="4" t="str">
        <f ca="1">IFERROR(__xludf.DUMMYFUNCTION("ARRAY_CONSTRAIN(ARRAYFORMULA(SINGLE(TEXTJOIN(""_"",TRUE,D1482,G1482))), 1, 1)"),"State Policy Network_2014")</f>
        <v>State Policy Network_2014</v>
      </c>
      <c r="D1482" s="4" t="s">
        <v>46</v>
      </c>
      <c r="E1482" s="4" t="s">
        <v>249</v>
      </c>
      <c r="F1482" s="6">
        <v>40000</v>
      </c>
      <c r="G1482" s="4">
        <v>2014</v>
      </c>
      <c r="H1482" s="4" t="s">
        <v>359</v>
      </c>
    </row>
    <row r="1483" spans="1:8" ht="15" customHeight="1" x14ac:dyDescent="0.2">
      <c r="A1483" s="4" t="s">
        <v>368</v>
      </c>
      <c r="B1483" s="4" t="s">
        <v>783</v>
      </c>
      <c r="C1483" s="4" t="str">
        <f ca="1">IFERROR(__xludf.DUMMYFUNCTION("ARRAY_CONSTRAIN(ARRAYFORMULA(SINGLE(TEXTJOIN(""_"",TRUE,D1483,G1483))), 1, 1)"),"State Policy Network_2014")</f>
        <v>State Policy Network_2014</v>
      </c>
      <c r="D1483" s="4" t="s">
        <v>46</v>
      </c>
      <c r="E1483" s="4" t="s">
        <v>252</v>
      </c>
      <c r="F1483" s="6">
        <v>47250</v>
      </c>
      <c r="G1483" s="4">
        <v>2014</v>
      </c>
      <c r="H1483" s="4" t="s">
        <v>359</v>
      </c>
    </row>
    <row r="1484" spans="1:8" ht="15" customHeight="1" x14ac:dyDescent="0.2">
      <c r="A1484" s="4" t="s">
        <v>368</v>
      </c>
      <c r="B1484" s="4" t="s">
        <v>784</v>
      </c>
      <c r="C1484" s="4" t="str">
        <f ca="1">IFERROR(__xludf.DUMMYFUNCTION("ARRAY_CONSTRAIN(ARRAYFORMULA(SINGLE(TEXTJOIN(""_"",TRUE,D1484,G1484))), 1, 1)"),"State Policy Network_2014")</f>
        <v>State Policy Network_2014</v>
      </c>
      <c r="D1484" s="4" t="s">
        <v>46</v>
      </c>
      <c r="E1484" s="4" t="s">
        <v>254</v>
      </c>
      <c r="F1484" s="6">
        <v>59100</v>
      </c>
      <c r="G1484" s="4">
        <v>2014</v>
      </c>
      <c r="H1484" s="4" t="s">
        <v>359</v>
      </c>
    </row>
    <row r="1485" spans="1:8" ht="15" customHeight="1" x14ac:dyDescent="0.2">
      <c r="A1485" s="4" t="s">
        <v>368</v>
      </c>
      <c r="B1485" s="4" t="s">
        <v>785</v>
      </c>
      <c r="C1485" s="4" t="str">
        <f ca="1">IFERROR(__xludf.DUMMYFUNCTION("ARRAY_CONSTRAIN(ARRAYFORMULA(SINGLE(TEXTJOIN(""_"",TRUE,D1485,G1485))), 1, 1)"),"State Policy Network_2014")</f>
        <v>State Policy Network_2014</v>
      </c>
      <c r="D1485" s="4" t="s">
        <v>46</v>
      </c>
      <c r="E1485" s="4" t="s">
        <v>256</v>
      </c>
      <c r="F1485" s="6">
        <v>20000</v>
      </c>
      <c r="G1485" s="4">
        <v>2014</v>
      </c>
      <c r="H1485" s="4" t="s">
        <v>359</v>
      </c>
    </row>
    <row r="1486" spans="1:8" ht="15" customHeight="1" x14ac:dyDescent="0.2">
      <c r="A1486" s="4" t="s">
        <v>368</v>
      </c>
      <c r="B1486" s="4" t="s">
        <v>786</v>
      </c>
      <c r="C1486" s="4" t="str">
        <f ca="1">IFERROR(__xludf.DUMMYFUNCTION("ARRAY_CONSTRAIN(ARRAYFORMULA(SINGLE(TEXTJOIN(""_"",TRUE,D1486,G1486))), 1, 1)"),"State Policy Network_2014")</f>
        <v>State Policy Network_2014</v>
      </c>
      <c r="D1486" s="4" t="s">
        <v>46</v>
      </c>
      <c r="E1486" s="4" t="s">
        <v>262</v>
      </c>
      <c r="F1486" s="6">
        <v>26000</v>
      </c>
      <c r="G1486" s="4">
        <v>2014</v>
      </c>
      <c r="H1486" s="4" t="s">
        <v>359</v>
      </c>
    </row>
    <row r="1487" spans="1:8" ht="15" customHeight="1" x14ac:dyDescent="0.2">
      <c r="A1487" s="4" t="s">
        <v>368</v>
      </c>
      <c r="B1487" s="4" t="s">
        <v>787</v>
      </c>
      <c r="C1487" s="4" t="str">
        <f ca="1">IFERROR(__xludf.DUMMYFUNCTION("ARRAY_CONSTRAIN(ARRAYFORMULA(SINGLE(TEXTJOIN(""_"",TRUE,D1487,G1487))), 1, 1)"),"State Policy Network_2014")</f>
        <v>State Policy Network_2014</v>
      </c>
      <c r="D1487" s="4" t="s">
        <v>46</v>
      </c>
      <c r="E1487" s="4" t="s">
        <v>268</v>
      </c>
      <c r="F1487" s="6">
        <v>11000</v>
      </c>
      <c r="G1487" s="4">
        <v>2014</v>
      </c>
      <c r="H1487" s="4" t="s">
        <v>788</v>
      </c>
    </row>
    <row r="1488" spans="1:8" ht="15" customHeight="1" x14ac:dyDescent="0.2">
      <c r="A1488" s="4" t="s">
        <v>368</v>
      </c>
      <c r="B1488" s="4" t="s">
        <v>789</v>
      </c>
      <c r="C1488" s="4" t="str">
        <f ca="1">IFERROR(__xludf.DUMMYFUNCTION("ARRAY_CONSTRAIN(ARRAYFORMULA(SINGLE(TEXTJOIN(""_"",TRUE,D1488,G1488))), 1, 1)"),"State Policy Network_2014")</f>
        <v>State Policy Network_2014</v>
      </c>
      <c r="D1488" s="4" t="s">
        <v>46</v>
      </c>
      <c r="E1488" s="4" t="s">
        <v>278</v>
      </c>
      <c r="F1488" s="6">
        <v>20300</v>
      </c>
      <c r="G1488" s="4">
        <v>2014</v>
      </c>
      <c r="H1488" s="4" t="s">
        <v>359</v>
      </c>
    </row>
    <row r="1489" spans="1:8" ht="15" customHeight="1" x14ac:dyDescent="0.2">
      <c r="A1489" s="4" t="s">
        <v>368</v>
      </c>
      <c r="B1489" s="4" t="s">
        <v>790</v>
      </c>
      <c r="C1489" s="4" t="str">
        <f ca="1">IFERROR(__xludf.DUMMYFUNCTION("ARRAY_CONSTRAIN(ARRAYFORMULA(SINGLE(TEXTJOIN(""_"",TRUE,D1489,G1489))), 1, 1)"),"State Policy Network_2014")</f>
        <v>State Policy Network_2014</v>
      </c>
      <c r="D1489" s="4" t="s">
        <v>46</v>
      </c>
      <c r="E1489" s="4" t="s">
        <v>286</v>
      </c>
      <c r="F1489" s="6">
        <v>38300</v>
      </c>
      <c r="G1489" s="4">
        <v>2014</v>
      </c>
      <c r="H1489" s="4" t="s">
        <v>359</v>
      </c>
    </row>
    <row r="1490" spans="1:8" ht="15" customHeight="1" x14ac:dyDescent="0.2">
      <c r="A1490" s="4" t="s">
        <v>368</v>
      </c>
      <c r="B1490" s="4" t="s">
        <v>791</v>
      </c>
      <c r="C1490" s="4" t="str">
        <f ca="1">IFERROR(__xludf.DUMMYFUNCTION("ARRAY_CONSTRAIN(ARRAYFORMULA(SINGLE(TEXTJOIN(""_"",TRUE,D1490,G1490))), 1, 1)"),"State Policy Network_2014")</f>
        <v>State Policy Network_2014</v>
      </c>
      <c r="D1490" s="4" t="s">
        <v>46</v>
      </c>
      <c r="E1490" s="4" t="s">
        <v>287</v>
      </c>
      <c r="F1490" s="6">
        <v>72350</v>
      </c>
      <c r="G1490" s="4">
        <v>2014</v>
      </c>
      <c r="H1490" s="4" t="s">
        <v>359</v>
      </c>
    </row>
    <row r="1491" spans="1:8" ht="15" customHeight="1" x14ac:dyDescent="0.2">
      <c r="A1491" s="4" t="s">
        <v>368</v>
      </c>
      <c r="B1491" s="4" t="s">
        <v>792</v>
      </c>
      <c r="C1491" s="4" t="str">
        <f ca="1">IFERROR(__xludf.DUMMYFUNCTION("ARRAY_CONSTRAIN(ARRAYFORMULA(SINGLE(TEXTJOIN(""_"",TRUE,D1491,G1491))), 1, 1)"),"State Policy Network_2014")</f>
        <v>State Policy Network_2014</v>
      </c>
      <c r="D1491" s="4" t="s">
        <v>46</v>
      </c>
      <c r="E1491" s="4" t="s">
        <v>291</v>
      </c>
      <c r="F1491" s="6">
        <v>40000</v>
      </c>
      <c r="G1491" s="4">
        <v>2014</v>
      </c>
      <c r="H1491" s="4" t="s">
        <v>359</v>
      </c>
    </row>
    <row r="1492" spans="1:8" ht="15" customHeight="1" x14ac:dyDescent="0.2">
      <c r="A1492" s="4" t="s">
        <v>368</v>
      </c>
      <c r="B1492" s="4" t="s">
        <v>793</v>
      </c>
      <c r="C1492" s="4" t="str">
        <f ca="1">IFERROR(__xludf.DUMMYFUNCTION("ARRAY_CONSTRAIN(ARRAYFORMULA(SINGLE(TEXTJOIN(""_"",TRUE,D1492,G1492))), 1, 1)"),"State Policy Network_2014")</f>
        <v>State Policy Network_2014</v>
      </c>
      <c r="D1492" s="4" t="s">
        <v>46</v>
      </c>
      <c r="E1492" s="4" t="s">
        <v>292</v>
      </c>
      <c r="F1492" s="6">
        <v>50100</v>
      </c>
      <c r="G1492" s="4">
        <v>2014</v>
      </c>
      <c r="H1492" s="4" t="s">
        <v>359</v>
      </c>
    </row>
    <row r="1493" spans="1:8" ht="15" customHeight="1" x14ac:dyDescent="0.2">
      <c r="A1493" s="4" t="s">
        <v>368</v>
      </c>
      <c r="B1493" s="4" t="s">
        <v>794</v>
      </c>
      <c r="C1493" s="4" t="str">
        <f ca="1">IFERROR(__xludf.DUMMYFUNCTION("ARRAY_CONSTRAIN(ARRAYFORMULA(SINGLE(TEXTJOIN(""_"",TRUE,D1493,G1493))), 1, 1)"),"State Policy Network_2014")</f>
        <v>State Policy Network_2014</v>
      </c>
      <c r="D1493" s="4" t="s">
        <v>46</v>
      </c>
      <c r="E1493" s="4" t="s">
        <v>293</v>
      </c>
      <c r="F1493" s="6">
        <v>10000</v>
      </c>
      <c r="G1493" s="4">
        <v>2014</v>
      </c>
      <c r="H1493" s="4" t="s">
        <v>359</v>
      </c>
    </row>
    <row r="1494" spans="1:8" ht="15" customHeight="1" x14ac:dyDescent="0.2">
      <c r="A1494" s="4" t="s">
        <v>368</v>
      </c>
      <c r="B1494" s="4" t="s">
        <v>795</v>
      </c>
      <c r="C1494" s="4" t="str">
        <f ca="1">IFERROR(__xludf.DUMMYFUNCTION("ARRAY_CONSTRAIN(ARRAYFORMULA(SINGLE(TEXTJOIN(""_"",TRUE,D1494,G1494))), 1, 1)"),"State Policy Network_2014")</f>
        <v>State Policy Network_2014</v>
      </c>
      <c r="D1494" s="4" t="s">
        <v>46</v>
      </c>
      <c r="E1494" s="4" t="s">
        <v>295</v>
      </c>
      <c r="F1494" s="6">
        <v>14600</v>
      </c>
      <c r="G1494" s="4">
        <v>2014</v>
      </c>
      <c r="H1494" s="4" t="s">
        <v>359</v>
      </c>
    </row>
    <row r="1495" spans="1:8" ht="15" customHeight="1" x14ac:dyDescent="0.2">
      <c r="A1495" s="4" t="s">
        <v>368</v>
      </c>
      <c r="B1495" s="4" t="s">
        <v>796</v>
      </c>
      <c r="C1495" s="4" t="str">
        <f ca="1">IFERROR(__xludf.DUMMYFUNCTION("ARRAY_CONSTRAIN(ARRAYFORMULA(SINGLE(TEXTJOIN(""_"",TRUE,D1495,G1495))), 1, 1)"),"State Policy Network_2014")</f>
        <v>State Policy Network_2014</v>
      </c>
      <c r="D1495" s="4" t="s">
        <v>46</v>
      </c>
      <c r="E1495" s="4" t="s">
        <v>303</v>
      </c>
      <c r="F1495" s="6">
        <v>46300</v>
      </c>
      <c r="G1495" s="4">
        <v>2014</v>
      </c>
      <c r="H1495" s="4" t="s">
        <v>359</v>
      </c>
    </row>
    <row r="1496" spans="1:8" ht="15" customHeight="1" x14ac:dyDescent="0.2">
      <c r="A1496" s="4">
        <v>990</v>
      </c>
      <c r="B1496" s="4" t="s">
        <v>797</v>
      </c>
      <c r="C1496" s="4" t="str">
        <f ca="1">IFERROR(__xludf.DUMMYFUNCTION("ARRAY_CONSTRAIN(ARRAYFORMULA(SINGLE(TEXTJOIN(""_"",TRUE,D1496,G1496))), 1, 1)"),"State Policy Network_2014")</f>
        <v>State Policy Network_2014</v>
      </c>
      <c r="D1496" s="4" t="s">
        <v>46</v>
      </c>
      <c r="E1496" s="4" t="s">
        <v>304</v>
      </c>
      <c r="F1496" s="6">
        <v>46600</v>
      </c>
      <c r="G1496" s="4">
        <v>2014</v>
      </c>
      <c r="H1496" s="4" t="s">
        <v>361</v>
      </c>
    </row>
    <row r="1497" spans="1:8" ht="15" customHeight="1" x14ac:dyDescent="0.2">
      <c r="A1497" s="4" t="s">
        <v>368</v>
      </c>
      <c r="B1497" s="4" t="s">
        <v>798</v>
      </c>
      <c r="C1497" s="4" t="str">
        <f ca="1">IFERROR(__xludf.DUMMYFUNCTION("ARRAY_CONSTRAIN(ARRAYFORMULA(SINGLE(TEXTJOIN(""_"",TRUE,D1497,G1497))), 1, 1)"),"State Policy Network_2014")</f>
        <v>State Policy Network_2014</v>
      </c>
      <c r="D1497" s="4" t="s">
        <v>46</v>
      </c>
      <c r="E1497" s="4" t="s">
        <v>308</v>
      </c>
      <c r="F1497" s="6">
        <v>15000</v>
      </c>
      <c r="G1497" s="4">
        <v>2014</v>
      </c>
      <c r="H1497" s="4" t="s">
        <v>359</v>
      </c>
    </row>
    <row r="1498" spans="1:8" ht="15" customHeight="1" x14ac:dyDescent="0.2">
      <c r="A1498" s="4" t="s">
        <v>368</v>
      </c>
      <c r="B1498" s="4" t="s">
        <v>799</v>
      </c>
      <c r="C1498" s="4" t="str">
        <f ca="1">IFERROR(__xludf.DUMMYFUNCTION("ARRAY_CONSTRAIN(ARRAYFORMULA(SINGLE(TEXTJOIN(""_"",TRUE,D1498,G1498))), 1, 1)"),"State Policy Network_2014")</f>
        <v>State Policy Network_2014</v>
      </c>
      <c r="D1498" s="4" t="s">
        <v>46</v>
      </c>
      <c r="E1498" s="4" t="s">
        <v>310</v>
      </c>
      <c r="F1498" s="6">
        <v>22000</v>
      </c>
      <c r="G1498" s="4">
        <v>2014</v>
      </c>
      <c r="H1498" s="4" t="s">
        <v>359</v>
      </c>
    </row>
    <row r="1499" spans="1:8" ht="15" customHeight="1" x14ac:dyDescent="0.2">
      <c r="A1499" s="4" t="s">
        <v>368</v>
      </c>
      <c r="B1499" s="4" t="s">
        <v>800</v>
      </c>
      <c r="C1499" s="4" t="str">
        <f ca="1">IFERROR(__xludf.DUMMYFUNCTION("ARRAY_CONSTRAIN(ARRAYFORMULA(SINGLE(TEXTJOIN(""_"",TRUE,D1499,G1499))), 1, 1)"),"State Policy Network_2014")</f>
        <v>State Policy Network_2014</v>
      </c>
      <c r="D1499" s="4" t="s">
        <v>46</v>
      </c>
      <c r="E1499" s="4" t="s">
        <v>315</v>
      </c>
      <c r="F1499" s="6">
        <v>40000</v>
      </c>
      <c r="G1499" s="4">
        <v>2014</v>
      </c>
      <c r="H1499" s="4" t="s">
        <v>359</v>
      </c>
    </row>
    <row r="1500" spans="1:8" ht="15" customHeight="1" x14ac:dyDescent="0.2">
      <c r="A1500" s="4" t="s">
        <v>368</v>
      </c>
      <c r="B1500" s="4" t="s">
        <v>801</v>
      </c>
      <c r="C1500" s="4" t="str">
        <f ca="1">IFERROR(__xludf.DUMMYFUNCTION("ARRAY_CONSTRAIN(ARRAYFORMULA(SINGLE(TEXTJOIN(""_"",TRUE,D1500,G1500))), 1, 1)"),"State Policy Network_2014")</f>
        <v>State Policy Network_2014</v>
      </c>
      <c r="D1500" s="4" t="s">
        <v>46</v>
      </c>
      <c r="E1500" s="4" t="s">
        <v>322</v>
      </c>
      <c r="F1500" s="6">
        <v>25000</v>
      </c>
      <c r="G1500" s="4">
        <v>2014</v>
      </c>
      <c r="H1500" s="4" t="s">
        <v>359</v>
      </c>
    </row>
    <row r="1501" spans="1:8" ht="15" customHeight="1" x14ac:dyDescent="0.2">
      <c r="A1501" s="4" t="s">
        <v>368</v>
      </c>
      <c r="B1501" s="4" t="s">
        <v>802</v>
      </c>
      <c r="C1501" s="4" t="str">
        <f ca="1">IFERROR(__xludf.DUMMYFUNCTION("ARRAY_CONSTRAIN(ARRAYFORMULA(SINGLE(TEXTJOIN(""_"",TRUE,D1501,G1501))), 1, 1)"),"State Policy Network_2014")</f>
        <v>State Policy Network_2014</v>
      </c>
      <c r="D1501" s="4" t="s">
        <v>46</v>
      </c>
      <c r="E1501" s="4" t="s">
        <v>324</v>
      </c>
      <c r="F1501" s="6">
        <v>10250</v>
      </c>
      <c r="G1501" s="4">
        <v>2014</v>
      </c>
      <c r="H1501" s="4" t="s">
        <v>359</v>
      </c>
    </row>
    <row r="1502" spans="1:8" ht="15" customHeight="1" x14ac:dyDescent="0.2">
      <c r="A1502" s="4" t="s">
        <v>368</v>
      </c>
      <c r="B1502" s="4" t="s">
        <v>803</v>
      </c>
      <c r="C1502" s="4" t="str">
        <f ca="1">IFERROR(__xludf.DUMMYFUNCTION("ARRAY_CONSTRAIN(ARRAYFORMULA(SINGLE(TEXTJOIN(""_"",TRUE,D1502,G1502))), 1, 1)"),"State Policy Network_2014")</f>
        <v>State Policy Network_2014</v>
      </c>
      <c r="D1502" s="4" t="s">
        <v>46</v>
      </c>
      <c r="E1502" s="4" t="s">
        <v>326</v>
      </c>
      <c r="F1502" s="6">
        <v>13000</v>
      </c>
      <c r="G1502" s="4">
        <v>2014</v>
      </c>
      <c r="H1502" s="4" t="s">
        <v>359</v>
      </c>
    </row>
    <row r="1503" spans="1:8" ht="15" customHeight="1" x14ac:dyDescent="0.2">
      <c r="A1503" s="4" t="s">
        <v>368</v>
      </c>
      <c r="B1503" s="4" t="s">
        <v>804</v>
      </c>
      <c r="C1503" s="4" t="str">
        <f ca="1">IFERROR(__xludf.DUMMYFUNCTION("ARRAY_CONSTRAIN(ARRAYFORMULA(SINGLE(TEXTJOIN(""_"",TRUE,D1503,G1503))), 1, 1)"),"State Policy Network_2014")</f>
        <v>State Policy Network_2014</v>
      </c>
      <c r="D1503" s="4" t="s">
        <v>46</v>
      </c>
      <c r="E1503" s="4" t="s">
        <v>331</v>
      </c>
      <c r="F1503" s="6">
        <v>10250</v>
      </c>
      <c r="G1503" s="4">
        <v>2014</v>
      </c>
      <c r="H1503" s="4" t="s">
        <v>359</v>
      </c>
    </row>
    <row r="1504" spans="1:8" ht="15" customHeight="1" x14ac:dyDescent="0.2">
      <c r="A1504" s="4" t="s">
        <v>368</v>
      </c>
      <c r="B1504" s="4" t="s">
        <v>805</v>
      </c>
      <c r="C1504" s="4" t="str">
        <f ca="1">IFERROR(__xludf.DUMMYFUNCTION("ARRAY_CONSTRAIN(ARRAYFORMULA(SINGLE(TEXTJOIN(""_"",TRUE,D1504,G1504))), 1, 1)"),"State Policy Network_2014")</f>
        <v>State Policy Network_2014</v>
      </c>
      <c r="D1504" s="4" t="s">
        <v>46</v>
      </c>
      <c r="E1504" s="4" t="s">
        <v>332</v>
      </c>
      <c r="F1504" s="6">
        <v>76100</v>
      </c>
      <c r="G1504" s="4">
        <v>2014</v>
      </c>
      <c r="H1504" s="4" t="s">
        <v>359</v>
      </c>
    </row>
    <row r="1505" spans="1:9" ht="15" customHeight="1" x14ac:dyDescent="0.2">
      <c r="A1505" s="4" t="s">
        <v>368</v>
      </c>
      <c r="B1505" s="4" t="s">
        <v>806</v>
      </c>
      <c r="C1505" s="4" t="str">
        <f ca="1">IFERROR(__xludf.DUMMYFUNCTION("ARRAY_CONSTRAIN(ARRAYFORMULA(SINGLE(TEXTJOIN(""_"",TRUE,D1505,G1505))), 1, 1)"),"State Policy Network_2014")</f>
        <v>State Policy Network_2014</v>
      </c>
      <c r="D1505" s="4" t="s">
        <v>46</v>
      </c>
      <c r="E1505" s="4" t="s">
        <v>334</v>
      </c>
      <c r="F1505" s="6">
        <v>25000</v>
      </c>
      <c r="G1505" s="4">
        <v>2014</v>
      </c>
      <c r="H1505" s="4" t="s">
        <v>788</v>
      </c>
      <c r="I1505" s="4" t="s">
        <v>807</v>
      </c>
    </row>
    <row r="1506" spans="1:9" ht="15" customHeight="1" x14ac:dyDescent="0.2">
      <c r="A1506" s="4" t="s">
        <v>368</v>
      </c>
      <c r="B1506" s="4" t="s">
        <v>808</v>
      </c>
      <c r="C1506" s="4" t="str">
        <f ca="1">IFERROR(__xludf.DUMMYFUNCTION("ARRAY_CONSTRAIN(ARRAYFORMULA(SINGLE(TEXTJOIN(""_"",TRUE,D1506,G1506))), 1, 1)"),"State Policy Network_2014")</f>
        <v>State Policy Network_2014</v>
      </c>
      <c r="D1506" s="4" t="s">
        <v>46</v>
      </c>
      <c r="E1506" s="4" t="s">
        <v>335</v>
      </c>
      <c r="F1506" s="6">
        <v>71000</v>
      </c>
      <c r="G1506" s="4">
        <v>2014</v>
      </c>
      <c r="H1506" s="4" t="s">
        <v>359</v>
      </c>
    </row>
    <row r="1507" spans="1:9" ht="15" customHeight="1" x14ac:dyDescent="0.2">
      <c r="A1507" s="4" t="s">
        <v>368</v>
      </c>
      <c r="B1507" s="4" t="s">
        <v>809</v>
      </c>
      <c r="C1507" s="4" t="str">
        <f ca="1">IFERROR(__xludf.DUMMYFUNCTION("ARRAY_CONSTRAIN(ARRAYFORMULA(SINGLE(TEXTJOIN(""_"",TRUE,D1507,G1507))), 1, 1)"),"State Policy Network_2014")</f>
        <v>State Policy Network_2014</v>
      </c>
      <c r="D1507" s="4" t="s">
        <v>46</v>
      </c>
      <c r="E1507" s="4" t="s">
        <v>336</v>
      </c>
      <c r="F1507" s="6">
        <v>30000</v>
      </c>
      <c r="G1507" s="4">
        <v>2014</v>
      </c>
      <c r="H1507" s="4" t="s">
        <v>359</v>
      </c>
    </row>
    <row r="1508" spans="1:9" ht="15" customHeight="1" x14ac:dyDescent="0.2">
      <c r="A1508" s="4" t="s">
        <v>368</v>
      </c>
      <c r="B1508" s="4" t="s">
        <v>810</v>
      </c>
      <c r="C1508" s="4" t="str">
        <f ca="1">IFERROR(__xludf.DUMMYFUNCTION("ARRAY_CONSTRAIN(ARRAYFORMULA(SINGLE(TEXTJOIN(""_"",TRUE,D1508,G1508))), 1, 1)"),"State Policy Network_2014")</f>
        <v>State Policy Network_2014</v>
      </c>
      <c r="D1508" s="4" t="s">
        <v>46</v>
      </c>
      <c r="E1508" s="4" t="s">
        <v>337</v>
      </c>
      <c r="F1508" s="6">
        <v>65100</v>
      </c>
      <c r="G1508" s="4">
        <v>2014</v>
      </c>
      <c r="H1508" s="4" t="s">
        <v>359</v>
      </c>
    </row>
    <row r="1509" spans="1:9" ht="15" customHeight="1" x14ac:dyDescent="0.2">
      <c r="A1509" s="4" t="s">
        <v>368</v>
      </c>
      <c r="B1509" s="4" t="s">
        <v>811</v>
      </c>
      <c r="C1509" s="4" t="str">
        <f ca="1">IFERROR(__xludf.DUMMYFUNCTION("ARRAY_CONSTRAIN(ARRAYFORMULA(SINGLE(TEXTJOIN(""_"",TRUE,D1509,G1509))), 1, 1)"),"State Policy Network_2014")</f>
        <v>State Policy Network_2014</v>
      </c>
      <c r="D1509" s="4" t="s">
        <v>46</v>
      </c>
      <c r="E1509" s="4" t="s">
        <v>342</v>
      </c>
      <c r="F1509" s="6">
        <v>89400</v>
      </c>
      <c r="G1509" s="4">
        <v>2014</v>
      </c>
      <c r="H1509" s="4" t="s">
        <v>359</v>
      </c>
    </row>
    <row r="1510" spans="1:9" ht="15" customHeight="1" x14ac:dyDescent="0.2">
      <c r="A1510" s="4" t="s">
        <v>368</v>
      </c>
      <c r="B1510" s="4" t="s">
        <v>812</v>
      </c>
      <c r="C1510" s="4" t="str">
        <f ca="1">IFERROR(__xludf.DUMMYFUNCTION("ARRAY_CONSTRAIN(ARRAYFORMULA(SINGLE(TEXTJOIN(""_"",TRUE,D1510,G1510))), 1, 1)"),"State Policy Network_2014")</f>
        <v>State Policy Network_2014</v>
      </c>
      <c r="D1510" s="4" t="s">
        <v>46</v>
      </c>
      <c r="E1510" s="4" t="s">
        <v>344</v>
      </c>
      <c r="F1510" s="6">
        <v>15000</v>
      </c>
      <c r="G1510" s="4">
        <v>2014</v>
      </c>
      <c r="H1510" s="4" t="s">
        <v>359</v>
      </c>
    </row>
    <row r="1511" spans="1:9" ht="15" customHeight="1" x14ac:dyDescent="0.2">
      <c r="A1511" s="4" t="s">
        <v>368</v>
      </c>
      <c r="B1511" s="4" t="s">
        <v>813</v>
      </c>
      <c r="C1511" s="4" t="str">
        <f ca="1">IFERROR(__xludf.DUMMYFUNCTION("ARRAY_CONSTRAIN(ARRAYFORMULA(SINGLE(TEXTJOIN(""_"",TRUE,D1511,G1511))), 1, 1)"),"State Policy Network_2014")</f>
        <v>State Policy Network_2014</v>
      </c>
      <c r="D1511" s="4" t="s">
        <v>46</v>
      </c>
      <c r="E1511" s="4" t="s">
        <v>348</v>
      </c>
      <c r="F1511" s="6">
        <v>18000</v>
      </c>
      <c r="G1511" s="4">
        <v>2014</v>
      </c>
      <c r="H1511" s="4" t="s">
        <v>359</v>
      </c>
    </row>
    <row r="1512" spans="1:9" ht="15" customHeight="1" x14ac:dyDescent="0.2">
      <c r="A1512" s="4" t="s">
        <v>368</v>
      </c>
      <c r="B1512" s="4" t="s">
        <v>814</v>
      </c>
      <c r="C1512" s="4" t="str">
        <f ca="1">IFERROR(__xludf.DUMMYFUNCTION("ARRAY_CONSTRAIN(ARRAYFORMULA(SINGLE(TEXTJOIN(""_"",TRUE,D1512,G1512))), 1, 1)"),"State Policy Network_2013")</f>
        <v>State Policy Network_2013</v>
      </c>
      <c r="D1512" s="4" t="s">
        <v>46</v>
      </c>
      <c r="E1512" s="4" t="s">
        <v>234</v>
      </c>
      <c r="F1512" s="6">
        <v>35000</v>
      </c>
      <c r="G1512" s="4">
        <v>2013</v>
      </c>
      <c r="H1512" s="4" t="s">
        <v>359</v>
      </c>
    </row>
    <row r="1513" spans="1:9" ht="15" customHeight="1" x14ac:dyDescent="0.2">
      <c r="A1513" s="4" t="s">
        <v>368</v>
      </c>
      <c r="B1513" s="4" t="s">
        <v>815</v>
      </c>
      <c r="C1513" s="4" t="str">
        <f ca="1">IFERROR(__xludf.DUMMYFUNCTION("ARRAY_CONSTRAIN(ARRAYFORMULA(SINGLE(TEXTJOIN(""_"",TRUE,D1513,G1513))), 1, 1)"),"State Policy Network_2013")</f>
        <v>State Policy Network_2013</v>
      </c>
      <c r="D1513" s="4" t="s">
        <v>46</v>
      </c>
      <c r="E1513" s="4" t="s">
        <v>251</v>
      </c>
      <c r="F1513" s="6">
        <v>30000</v>
      </c>
      <c r="G1513" s="4">
        <v>2013</v>
      </c>
      <c r="H1513" s="4" t="s">
        <v>359</v>
      </c>
    </row>
    <row r="1514" spans="1:9" ht="15" customHeight="1" x14ac:dyDescent="0.2">
      <c r="A1514" s="4" t="s">
        <v>368</v>
      </c>
      <c r="B1514" s="4" t="s">
        <v>816</v>
      </c>
      <c r="C1514" s="4" t="str">
        <f ca="1">IFERROR(__xludf.DUMMYFUNCTION("ARRAY_CONSTRAIN(ARRAYFORMULA(SINGLE(TEXTJOIN(""_"",TRUE,D1514,G1514))), 1, 1)"),"State Policy Network_2013")</f>
        <v>State Policy Network_2013</v>
      </c>
      <c r="D1514" s="4" t="s">
        <v>46</v>
      </c>
      <c r="E1514" s="4" t="s">
        <v>256</v>
      </c>
      <c r="F1514" s="6">
        <v>40000</v>
      </c>
      <c r="G1514" s="4">
        <v>2013</v>
      </c>
      <c r="H1514" s="4" t="s">
        <v>359</v>
      </c>
    </row>
    <row r="1515" spans="1:9" ht="15" customHeight="1" x14ac:dyDescent="0.2">
      <c r="A1515" s="4" t="s">
        <v>368</v>
      </c>
      <c r="B1515" s="4" t="s">
        <v>817</v>
      </c>
      <c r="C1515" s="4" t="str">
        <f ca="1">IFERROR(__xludf.DUMMYFUNCTION("ARRAY_CONSTRAIN(ARRAYFORMULA(SINGLE(TEXTJOIN(""_"",TRUE,D1515,G1515))), 1, 1)"),"State Policy Network_2013")</f>
        <v>State Policy Network_2013</v>
      </c>
      <c r="D1515" s="4" t="s">
        <v>46</v>
      </c>
      <c r="E1515" s="4" t="s">
        <v>257</v>
      </c>
      <c r="F1515" s="6">
        <v>20000</v>
      </c>
      <c r="G1515" s="4">
        <v>2013</v>
      </c>
      <c r="H1515" s="4" t="s">
        <v>359</v>
      </c>
    </row>
    <row r="1516" spans="1:9" ht="15" customHeight="1" x14ac:dyDescent="0.2">
      <c r="A1516" s="4" t="s">
        <v>368</v>
      </c>
      <c r="B1516" s="4" t="s">
        <v>818</v>
      </c>
      <c r="C1516" s="4" t="str">
        <f ca="1">IFERROR(__xludf.DUMMYFUNCTION("ARRAY_CONSTRAIN(ARRAYFORMULA(SINGLE(TEXTJOIN(""_"",TRUE,D1516,G1516))), 1, 1)"),"State Policy Network_2013")</f>
        <v>State Policy Network_2013</v>
      </c>
      <c r="D1516" s="4" t="s">
        <v>46</v>
      </c>
      <c r="E1516" s="4" t="s">
        <v>262</v>
      </c>
      <c r="F1516" s="6">
        <v>131250</v>
      </c>
      <c r="G1516" s="4">
        <v>2013</v>
      </c>
      <c r="H1516" s="4" t="s">
        <v>359</v>
      </c>
    </row>
    <row r="1517" spans="1:9" ht="15" customHeight="1" x14ac:dyDescent="0.2">
      <c r="A1517" s="4" t="s">
        <v>368</v>
      </c>
      <c r="B1517" s="4" t="s">
        <v>819</v>
      </c>
      <c r="C1517" s="4" t="str">
        <f ca="1">IFERROR(__xludf.DUMMYFUNCTION("ARRAY_CONSTRAIN(ARRAYFORMULA(SINGLE(TEXTJOIN(""_"",TRUE,D1517,G1517))), 1, 1)"),"State Policy Network_2013")</f>
        <v>State Policy Network_2013</v>
      </c>
      <c r="D1517" s="4" t="s">
        <v>46</v>
      </c>
      <c r="E1517" s="4" t="s">
        <v>264</v>
      </c>
      <c r="F1517" s="6">
        <v>51500</v>
      </c>
      <c r="G1517" s="4">
        <v>2013</v>
      </c>
      <c r="H1517" s="4" t="s">
        <v>359</v>
      </c>
    </row>
    <row r="1518" spans="1:9" ht="15" customHeight="1" x14ac:dyDescent="0.2">
      <c r="A1518" s="4" t="s">
        <v>368</v>
      </c>
      <c r="B1518" s="4" t="s">
        <v>820</v>
      </c>
      <c r="C1518" s="4" t="str">
        <f ca="1">IFERROR(__xludf.DUMMYFUNCTION("ARRAY_CONSTRAIN(ARRAYFORMULA(SINGLE(TEXTJOIN(""_"",TRUE,D1518,G1518))), 1, 1)"),"State Policy Network_2013")</f>
        <v>State Policy Network_2013</v>
      </c>
      <c r="D1518" s="4" t="s">
        <v>46</v>
      </c>
      <c r="E1518" s="4" t="s">
        <v>266</v>
      </c>
      <c r="F1518" s="6">
        <v>24930</v>
      </c>
      <c r="G1518" s="4">
        <v>2013</v>
      </c>
      <c r="H1518" s="4" t="s">
        <v>359</v>
      </c>
    </row>
    <row r="1519" spans="1:9" ht="15" customHeight="1" x14ac:dyDescent="0.2">
      <c r="A1519" s="4" t="s">
        <v>368</v>
      </c>
      <c r="B1519" s="4" t="s">
        <v>821</v>
      </c>
      <c r="C1519" s="4" t="str">
        <f ca="1">IFERROR(__xludf.DUMMYFUNCTION("ARRAY_CONSTRAIN(ARRAYFORMULA(SINGLE(TEXTJOIN(""_"",TRUE,D1519,G1519))), 1, 1)"),"State Policy Network_2013")</f>
        <v>State Policy Network_2013</v>
      </c>
      <c r="D1519" s="4" t="s">
        <v>46</v>
      </c>
      <c r="E1519" s="4" t="s">
        <v>271</v>
      </c>
      <c r="F1519" s="6">
        <v>55000</v>
      </c>
      <c r="G1519" s="4">
        <v>2013</v>
      </c>
      <c r="H1519" s="4" t="s">
        <v>359</v>
      </c>
    </row>
    <row r="1520" spans="1:9" ht="15" customHeight="1" x14ac:dyDescent="0.2">
      <c r="A1520" s="4" t="s">
        <v>368</v>
      </c>
      <c r="B1520" s="4" t="s">
        <v>822</v>
      </c>
      <c r="C1520" s="4" t="str">
        <f ca="1">IFERROR(__xludf.DUMMYFUNCTION("ARRAY_CONSTRAIN(ARRAYFORMULA(SINGLE(TEXTJOIN(""_"",TRUE,D1520,G1520))), 1, 1)"),"State Policy Network_2013")</f>
        <v>State Policy Network_2013</v>
      </c>
      <c r="D1520" s="4" t="s">
        <v>46</v>
      </c>
      <c r="E1520" s="4" t="s">
        <v>273</v>
      </c>
      <c r="F1520" s="6">
        <v>10000</v>
      </c>
      <c r="G1520" s="4">
        <v>2013</v>
      </c>
      <c r="H1520" s="4" t="s">
        <v>359</v>
      </c>
    </row>
    <row r="1521" spans="1:8" ht="15" customHeight="1" x14ac:dyDescent="0.2">
      <c r="A1521" s="4" t="s">
        <v>368</v>
      </c>
      <c r="B1521" s="4" t="s">
        <v>823</v>
      </c>
      <c r="C1521" s="4" t="str">
        <f ca="1">IFERROR(__xludf.DUMMYFUNCTION("ARRAY_CONSTRAIN(ARRAYFORMULA(SINGLE(TEXTJOIN(""_"",TRUE,D1521,G1521))), 1, 1)"),"State Policy Network_2013")</f>
        <v>State Policy Network_2013</v>
      </c>
      <c r="D1521" s="4" t="s">
        <v>46</v>
      </c>
      <c r="E1521" s="4" t="s">
        <v>268</v>
      </c>
      <c r="F1521" s="6">
        <v>80250</v>
      </c>
      <c r="G1521" s="4">
        <v>2013</v>
      </c>
      <c r="H1521" s="4" t="s">
        <v>788</v>
      </c>
    </row>
    <row r="1522" spans="1:8" ht="15" customHeight="1" x14ac:dyDescent="0.2">
      <c r="A1522" s="4" t="s">
        <v>368</v>
      </c>
      <c r="B1522" s="4" t="s">
        <v>824</v>
      </c>
      <c r="C1522" s="4" t="str">
        <f ca="1">IFERROR(__xludf.DUMMYFUNCTION("ARRAY_CONSTRAIN(ARRAYFORMULA(SINGLE(TEXTJOIN(""_"",TRUE,D1522,G1522))), 1, 1)"),"State Policy Network_2013")</f>
        <v>State Policy Network_2013</v>
      </c>
      <c r="D1522" s="4" t="s">
        <v>46</v>
      </c>
      <c r="E1522" s="4" t="s">
        <v>275</v>
      </c>
      <c r="F1522" s="6">
        <v>40000</v>
      </c>
      <c r="G1522" s="4">
        <v>2013</v>
      </c>
      <c r="H1522" s="4" t="s">
        <v>359</v>
      </c>
    </row>
    <row r="1523" spans="1:8" ht="15" customHeight="1" x14ac:dyDescent="0.2">
      <c r="A1523" s="4" t="s">
        <v>368</v>
      </c>
      <c r="B1523" s="4" t="s">
        <v>825</v>
      </c>
      <c r="C1523" s="4" t="str">
        <f ca="1">IFERROR(__xludf.DUMMYFUNCTION("ARRAY_CONSTRAIN(ARRAYFORMULA(SINGLE(TEXTJOIN(""_"",TRUE,D1523,G1523))), 1, 1)"),"State Policy Network_2013")</f>
        <v>State Policy Network_2013</v>
      </c>
      <c r="D1523" s="4" t="s">
        <v>46</v>
      </c>
      <c r="E1523" s="4" t="s">
        <v>278</v>
      </c>
      <c r="F1523" s="6">
        <v>40000</v>
      </c>
      <c r="G1523" s="4">
        <v>2013</v>
      </c>
      <c r="H1523" s="4" t="s">
        <v>359</v>
      </c>
    </row>
    <row r="1524" spans="1:8" ht="15" customHeight="1" x14ac:dyDescent="0.2">
      <c r="A1524" s="4" t="s">
        <v>368</v>
      </c>
      <c r="B1524" s="4" t="s">
        <v>826</v>
      </c>
      <c r="C1524" s="4" t="str">
        <f ca="1">IFERROR(__xludf.DUMMYFUNCTION("ARRAY_CONSTRAIN(ARRAYFORMULA(SINGLE(TEXTJOIN(""_"",TRUE,D1524,G1524))), 1, 1)"),"State Policy Network_2013")</f>
        <v>State Policy Network_2013</v>
      </c>
      <c r="D1524" s="4" t="s">
        <v>46</v>
      </c>
      <c r="E1524" s="4" t="s">
        <v>286</v>
      </c>
      <c r="F1524" s="6">
        <v>45000</v>
      </c>
      <c r="G1524" s="4">
        <v>2013</v>
      </c>
      <c r="H1524" s="4" t="s">
        <v>359</v>
      </c>
    </row>
    <row r="1525" spans="1:8" ht="15" customHeight="1" x14ac:dyDescent="0.2">
      <c r="A1525" s="4" t="s">
        <v>368</v>
      </c>
      <c r="B1525" s="4" t="s">
        <v>827</v>
      </c>
      <c r="C1525" s="4" t="str">
        <f ca="1">IFERROR(__xludf.DUMMYFUNCTION("ARRAY_CONSTRAIN(ARRAYFORMULA(SINGLE(TEXTJOIN(""_"",TRUE,D1525,G1525))), 1, 1)"),"State Policy Network_2013")</f>
        <v>State Policy Network_2013</v>
      </c>
      <c r="D1525" s="4" t="s">
        <v>46</v>
      </c>
      <c r="E1525" s="4" t="s">
        <v>287</v>
      </c>
      <c r="F1525" s="6">
        <v>25000</v>
      </c>
      <c r="G1525" s="4">
        <v>2013</v>
      </c>
      <c r="H1525" s="4" t="s">
        <v>359</v>
      </c>
    </row>
    <row r="1526" spans="1:8" ht="15" customHeight="1" x14ac:dyDescent="0.2">
      <c r="A1526" s="4" t="s">
        <v>368</v>
      </c>
      <c r="B1526" s="4" t="s">
        <v>828</v>
      </c>
      <c r="C1526" s="4" t="str">
        <f ca="1">IFERROR(__xludf.DUMMYFUNCTION("ARRAY_CONSTRAIN(ARRAYFORMULA(SINGLE(TEXTJOIN(""_"",TRUE,D1526,G1526))), 1, 1)"),"State Policy Network_2013")</f>
        <v>State Policy Network_2013</v>
      </c>
      <c r="D1526" s="4" t="s">
        <v>46</v>
      </c>
      <c r="E1526" s="4" t="s">
        <v>291</v>
      </c>
      <c r="F1526" s="6">
        <v>12200</v>
      </c>
      <c r="G1526" s="4">
        <v>2013</v>
      </c>
      <c r="H1526" s="4" t="s">
        <v>359</v>
      </c>
    </row>
    <row r="1527" spans="1:8" ht="15" customHeight="1" x14ac:dyDescent="0.2">
      <c r="A1527" s="4" t="s">
        <v>368</v>
      </c>
      <c r="B1527" s="4" t="s">
        <v>829</v>
      </c>
      <c r="C1527" s="4" t="str">
        <f ca="1">IFERROR(__xludf.DUMMYFUNCTION("ARRAY_CONSTRAIN(ARRAYFORMULA(SINGLE(TEXTJOIN(""_"",TRUE,D1527,G1527))), 1, 1)"),"State Policy Network_2013")</f>
        <v>State Policy Network_2013</v>
      </c>
      <c r="D1527" s="4" t="s">
        <v>46</v>
      </c>
      <c r="E1527" s="4" t="s">
        <v>294</v>
      </c>
      <c r="F1527" s="6">
        <v>23250</v>
      </c>
      <c r="G1527" s="4">
        <v>2013</v>
      </c>
      <c r="H1527" s="4" t="s">
        <v>359</v>
      </c>
    </row>
    <row r="1528" spans="1:8" ht="15" customHeight="1" x14ac:dyDescent="0.2">
      <c r="A1528" s="4" t="s">
        <v>368</v>
      </c>
      <c r="B1528" s="4" t="s">
        <v>830</v>
      </c>
      <c r="C1528" s="4" t="str">
        <f ca="1">IFERROR(__xludf.DUMMYFUNCTION("ARRAY_CONSTRAIN(ARRAYFORMULA(SINGLE(TEXTJOIN(""_"",TRUE,D1528,G1528))), 1, 1)"),"State Policy Network_2013")</f>
        <v>State Policy Network_2013</v>
      </c>
      <c r="D1528" s="4" t="s">
        <v>46</v>
      </c>
      <c r="E1528" s="4" t="s">
        <v>295</v>
      </c>
      <c r="F1528" s="6">
        <v>40000</v>
      </c>
      <c r="G1528" s="4">
        <v>2013</v>
      </c>
      <c r="H1528" s="4" t="s">
        <v>359</v>
      </c>
    </row>
    <row r="1529" spans="1:8" ht="15" customHeight="1" x14ac:dyDescent="0.2">
      <c r="A1529" s="4" t="s">
        <v>368</v>
      </c>
      <c r="B1529" s="4" t="s">
        <v>831</v>
      </c>
      <c r="C1529" s="4" t="str">
        <f ca="1">IFERROR(__xludf.DUMMYFUNCTION("ARRAY_CONSTRAIN(ARRAYFORMULA(SINGLE(TEXTJOIN(""_"",TRUE,D1529,G1529))), 1, 1)"),"State Policy Network_2013")</f>
        <v>State Policy Network_2013</v>
      </c>
      <c r="D1529" s="4" t="s">
        <v>46</v>
      </c>
      <c r="E1529" s="4" t="s">
        <v>297</v>
      </c>
      <c r="F1529" s="6">
        <v>24700</v>
      </c>
      <c r="G1529" s="4">
        <v>2013</v>
      </c>
      <c r="H1529" s="4" t="s">
        <v>359</v>
      </c>
    </row>
    <row r="1530" spans="1:8" ht="15" customHeight="1" x14ac:dyDescent="0.2">
      <c r="A1530" s="4" t="s">
        <v>368</v>
      </c>
      <c r="B1530" s="4" t="s">
        <v>832</v>
      </c>
      <c r="C1530" s="4" t="str">
        <f ca="1">IFERROR(__xludf.DUMMYFUNCTION("ARRAY_CONSTRAIN(ARRAYFORMULA(SINGLE(TEXTJOIN(""_"",TRUE,D1530,G1530))), 1, 1)"),"State Policy Network_2013")</f>
        <v>State Policy Network_2013</v>
      </c>
      <c r="D1530" s="4" t="s">
        <v>46</v>
      </c>
      <c r="E1530" s="4" t="s">
        <v>303</v>
      </c>
      <c r="F1530" s="6">
        <v>21000</v>
      </c>
      <c r="G1530" s="4">
        <v>2013</v>
      </c>
      <c r="H1530" s="4" t="s">
        <v>359</v>
      </c>
    </row>
    <row r="1531" spans="1:8" ht="15" customHeight="1" x14ac:dyDescent="0.2">
      <c r="A1531" s="4" t="s">
        <v>368</v>
      </c>
      <c r="B1531" s="4" t="s">
        <v>833</v>
      </c>
      <c r="C1531" s="4" t="str">
        <f ca="1">IFERROR(__xludf.DUMMYFUNCTION("ARRAY_CONSTRAIN(ARRAYFORMULA(SINGLE(TEXTJOIN(""_"",TRUE,D1531,G1531))), 1, 1)"),"State Policy Network_2013")</f>
        <v>State Policy Network_2013</v>
      </c>
      <c r="D1531" s="4" t="s">
        <v>46</v>
      </c>
      <c r="E1531" s="4" t="s">
        <v>305</v>
      </c>
      <c r="F1531" s="6">
        <v>50000</v>
      </c>
      <c r="G1531" s="4">
        <v>2013</v>
      </c>
      <c r="H1531" s="4" t="s">
        <v>359</v>
      </c>
    </row>
    <row r="1532" spans="1:8" ht="15" customHeight="1" x14ac:dyDescent="0.2">
      <c r="A1532" s="4" t="s">
        <v>368</v>
      </c>
      <c r="B1532" s="4" t="s">
        <v>834</v>
      </c>
      <c r="C1532" s="4" t="str">
        <f ca="1">IFERROR(__xludf.DUMMYFUNCTION("ARRAY_CONSTRAIN(ARRAYFORMULA(SINGLE(TEXTJOIN(""_"",TRUE,D1532,G1532))), 1, 1)"),"State Policy Network_2013")</f>
        <v>State Policy Network_2013</v>
      </c>
      <c r="D1532" s="4" t="s">
        <v>46</v>
      </c>
      <c r="E1532" s="4" t="s">
        <v>308</v>
      </c>
      <c r="F1532" s="6">
        <v>25000</v>
      </c>
      <c r="G1532" s="4">
        <v>2013</v>
      </c>
      <c r="H1532" s="4" t="s">
        <v>359</v>
      </c>
    </row>
    <row r="1533" spans="1:8" ht="15" customHeight="1" x14ac:dyDescent="0.2">
      <c r="A1533" s="4" t="s">
        <v>368</v>
      </c>
      <c r="B1533" s="4" t="s">
        <v>835</v>
      </c>
      <c r="C1533" s="4" t="str">
        <f ca="1">IFERROR(__xludf.DUMMYFUNCTION("ARRAY_CONSTRAIN(ARRAYFORMULA(SINGLE(TEXTJOIN(""_"",TRUE,D1533,G1533))), 1, 1)"),"State Policy Network_2013")</f>
        <v>State Policy Network_2013</v>
      </c>
      <c r="D1533" s="4" t="s">
        <v>46</v>
      </c>
      <c r="E1533" s="4" t="s">
        <v>315</v>
      </c>
      <c r="F1533" s="6">
        <v>25000</v>
      </c>
      <c r="G1533" s="4">
        <v>2013</v>
      </c>
      <c r="H1533" s="4" t="s">
        <v>359</v>
      </c>
    </row>
    <row r="1534" spans="1:8" ht="15" customHeight="1" x14ac:dyDescent="0.2">
      <c r="A1534" s="4" t="s">
        <v>368</v>
      </c>
      <c r="B1534" s="4" t="s">
        <v>836</v>
      </c>
      <c r="C1534" s="4" t="str">
        <f ca="1">IFERROR(__xludf.DUMMYFUNCTION("ARRAY_CONSTRAIN(ARRAYFORMULA(SINGLE(TEXTJOIN(""_"",TRUE,D1534,G1534))), 1, 1)"),"State Policy Network_2013")</f>
        <v>State Policy Network_2013</v>
      </c>
      <c r="D1534" s="4" t="s">
        <v>46</v>
      </c>
      <c r="E1534" s="4" t="s">
        <v>319</v>
      </c>
      <c r="F1534" s="6">
        <v>129000</v>
      </c>
      <c r="G1534" s="4">
        <v>2013</v>
      </c>
      <c r="H1534" s="4" t="s">
        <v>359</v>
      </c>
    </row>
    <row r="1535" spans="1:8" ht="15" customHeight="1" x14ac:dyDescent="0.2">
      <c r="A1535" s="4" t="s">
        <v>368</v>
      </c>
      <c r="B1535" s="4" t="s">
        <v>837</v>
      </c>
      <c r="C1535" s="4" t="str">
        <f ca="1">IFERROR(__xludf.DUMMYFUNCTION("ARRAY_CONSTRAIN(ARRAYFORMULA(SINGLE(TEXTJOIN(""_"",TRUE,D1535,G1535))), 1, 1)"),"State Policy Network_2013")</f>
        <v>State Policy Network_2013</v>
      </c>
      <c r="D1535" s="4" t="s">
        <v>46</v>
      </c>
      <c r="E1535" s="4" t="s">
        <v>326</v>
      </c>
      <c r="F1535" s="6">
        <v>28000</v>
      </c>
      <c r="G1535" s="4">
        <v>2013</v>
      </c>
      <c r="H1535" s="4" t="s">
        <v>359</v>
      </c>
    </row>
    <row r="1536" spans="1:8" ht="15" customHeight="1" x14ac:dyDescent="0.2">
      <c r="A1536" s="4" t="s">
        <v>368</v>
      </c>
      <c r="B1536" s="4" t="s">
        <v>838</v>
      </c>
      <c r="C1536" s="4" t="str">
        <f ca="1">IFERROR(__xludf.DUMMYFUNCTION("ARRAY_CONSTRAIN(ARRAYFORMULA(SINGLE(TEXTJOIN(""_"",TRUE,D1536,G1536))), 1, 1)"),"State Policy Network_2013")</f>
        <v>State Policy Network_2013</v>
      </c>
      <c r="D1536" s="4" t="s">
        <v>46</v>
      </c>
      <c r="E1536" s="4" t="s">
        <v>330</v>
      </c>
      <c r="F1536" s="6">
        <v>38000</v>
      </c>
      <c r="G1536" s="4">
        <v>2013</v>
      </c>
      <c r="H1536" s="4" t="s">
        <v>359</v>
      </c>
    </row>
    <row r="1537" spans="1:9" ht="15" customHeight="1" x14ac:dyDescent="0.2">
      <c r="A1537" s="4" t="s">
        <v>368</v>
      </c>
      <c r="B1537" s="4" t="s">
        <v>839</v>
      </c>
      <c r="C1537" s="4" t="str">
        <f ca="1">IFERROR(__xludf.DUMMYFUNCTION("ARRAY_CONSTRAIN(ARRAYFORMULA(SINGLE(TEXTJOIN(""_"",TRUE,D1537,G1537))), 1, 1)"),"State Policy Network_2013")</f>
        <v>State Policy Network_2013</v>
      </c>
      <c r="D1537" s="4" t="s">
        <v>46</v>
      </c>
      <c r="E1537" s="4" t="s">
        <v>332</v>
      </c>
      <c r="F1537" s="6">
        <v>6500</v>
      </c>
      <c r="G1537" s="4">
        <v>2013</v>
      </c>
      <c r="H1537" s="4" t="s">
        <v>359</v>
      </c>
    </row>
    <row r="1538" spans="1:9" ht="15" customHeight="1" x14ac:dyDescent="0.2">
      <c r="A1538" s="4" t="s">
        <v>368</v>
      </c>
      <c r="B1538" s="4" t="s">
        <v>840</v>
      </c>
      <c r="C1538" s="4" t="str">
        <f ca="1">IFERROR(__xludf.DUMMYFUNCTION("ARRAY_CONSTRAIN(ARRAYFORMULA(SINGLE(TEXTJOIN(""_"",TRUE,D1538,G1538))), 1, 1)"),"State Policy Network_2013")</f>
        <v>State Policy Network_2013</v>
      </c>
      <c r="D1538" s="4" t="s">
        <v>46</v>
      </c>
      <c r="E1538" s="4" t="s">
        <v>334</v>
      </c>
      <c r="F1538" s="6">
        <v>100000</v>
      </c>
      <c r="G1538" s="4">
        <v>2013</v>
      </c>
      <c r="H1538" s="4" t="s">
        <v>788</v>
      </c>
      <c r="I1538" s="4" t="s">
        <v>807</v>
      </c>
    </row>
    <row r="1539" spans="1:9" ht="15" customHeight="1" x14ac:dyDescent="0.2">
      <c r="A1539" s="4" t="s">
        <v>368</v>
      </c>
      <c r="B1539" s="4" t="s">
        <v>841</v>
      </c>
      <c r="C1539" s="4" t="str">
        <f ca="1">IFERROR(__xludf.DUMMYFUNCTION("ARRAY_CONSTRAIN(ARRAYFORMULA(SINGLE(TEXTJOIN(""_"",TRUE,D1539,G1539))), 1, 1)"),"State Policy Network_2013")</f>
        <v>State Policy Network_2013</v>
      </c>
      <c r="D1539" s="4" t="s">
        <v>46</v>
      </c>
      <c r="E1539" s="4" t="s">
        <v>335</v>
      </c>
      <c r="F1539" s="6">
        <v>22500</v>
      </c>
      <c r="G1539" s="4">
        <v>2013</v>
      </c>
      <c r="H1539" s="4" t="s">
        <v>359</v>
      </c>
    </row>
    <row r="1540" spans="1:9" ht="15" customHeight="1" x14ac:dyDescent="0.2">
      <c r="A1540" s="4" t="s">
        <v>368</v>
      </c>
      <c r="B1540" s="4" t="s">
        <v>842</v>
      </c>
      <c r="C1540" s="4" t="str">
        <f ca="1">IFERROR(__xludf.DUMMYFUNCTION("ARRAY_CONSTRAIN(ARRAYFORMULA(SINGLE(TEXTJOIN(""_"",TRUE,D1540,G1540))), 1, 1)"),"State Policy Network_2013")</f>
        <v>State Policy Network_2013</v>
      </c>
      <c r="D1540" s="4" t="s">
        <v>46</v>
      </c>
      <c r="E1540" s="4" t="s">
        <v>337</v>
      </c>
      <c r="F1540" s="6">
        <v>41000</v>
      </c>
      <c r="G1540" s="4">
        <v>2013</v>
      </c>
      <c r="H1540" s="4" t="s">
        <v>359</v>
      </c>
    </row>
    <row r="1541" spans="1:9" ht="15" customHeight="1" x14ac:dyDescent="0.2">
      <c r="A1541" s="4" t="s">
        <v>368</v>
      </c>
      <c r="B1541" s="4" t="s">
        <v>843</v>
      </c>
      <c r="C1541" s="4" t="str">
        <f ca="1">IFERROR(__xludf.DUMMYFUNCTION("ARRAY_CONSTRAIN(ARRAYFORMULA(SINGLE(TEXTJOIN(""_"",TRUE,D1541,G1541))), 1, 1)"),"State Policy Network_2013")</f>
        <v>State Policy Network_2013</v>
      </c>
      <c r="D1541" s="4" t="s">
        <v>46</v>
      </c>
      <c r="E1541" s="4" t="s">
        <v>338</v>
      </c>
      <c r="F1541" s="6">
        <v>5000</v>
      </c>
      <c r="G1541" s="4">
        <v>2013</v>
      </c>
      <c r="H1541" s="4" t="s">
        <v>359</v>
      </c>
    </row>
    <row r="1542" spans="1:9" ht="15" customHeight="1" x14ac:dyDescent="0.2">
      <c r="A1542" s="4" t="s">
        <v>368</v>
      </c>
      <c r="B1542" s="4" t="s">
        <v>844</v>
      </c>
      <c r="C1542" s="4" t="str">
        <f ca="1">IFERROR(__xludf.DUMMYFUNCTION("ARRAY_CONSTRAIN(ARRAYFORMULA(SINGLE(TEXTJOIN(""_"",TRUE,D1542,G1542))), 1, 1)"),"State Policy Network_2013")</f>
        <v>State Policy Network_2013</v>
      </c>
      <c r="D1542" s="4" t="s">
        <v>46</v>
      </c>
      <c r="E1542" s="4" t="s">
        <v>342</v>
      </c>
      <c r="F1542" s="6">
        <v>90000</v>
      </c>
      <c r="G1542" s="4">
        <v>2013</v>
      </c>
      <c r="H1542" s="4" t="s">
        <v>359</v>
      </c>
    </row>
    <row r="1543" spans="1:9" ht="15" customHeight="1" x14ac:dyDescent="0.2">
      <c r="A1543" s="4" t="s">
        <v>368</v>
      </c>
      <c r="B1543" s="4" t="s">
        <v>845</v>
      </c>
      <c r="C1543" s="4" t="str">
        <f ca="1">IFERROR(__xludf.DUMMYFUNCTION("ARRAY_CONSTRAIN(ARRAYFORMULA(SINGLE(TEXTJOIN(""_"",TRUE,D1543,G1543))), 1, 1)"),"State Policy Network_2013")</f>
        <v>State Policy Network_2013</v>
      </c>
      <c r="D1543" s="4" t="s">
        <v>46</v>
      </c>
      <c r="E1543" s="4" t="s">
        <v>348</v>
      </c>
      <c r="F1543" s="6">
        <v>24628</v>
      </c>
      <c r="G1543" s="4">
        <v>2013</v>
      </c>
      <c r="H1543" s="4" t="s">
        <v>359</v>
      </c>
    </row>
    <row r="1544" spans="1:9" ht="15" customHeight="1" x14ac:dyDescent="0.2">
      <c r="A1544" s="4" t="s">
        <v>368</v>
      </c>
      <c r="B1544" s="4" t="s">
        <v>846</v>
      </c>
      <c r="C1544" s="4" t="str">
        <f ca="1">IFERROR(__xludf.DUMMYFUNCTION("ARRAY_CONSTRAIN(ARRAYFORMULA(SINGLE(TEXTJOIN(""_"",TRUE,D1544,G1544))), 1, 1)"),"State Policy Network_2012")</f>
        <v>State Policy Network_2012</v>
      </c>
      <c r="D1544" s="4" t="s">
        <v>46</v>
      </c>
      <c r="E1544" s="4" t="s">
        <v>235</v>
      </c>
      <c r="F1544" s="6">
        <v>10000</v>
      </c>
      <c r="G1544" s="4">
        <v>2012</v>
      </c>
      <c r="H1544" s="4" t="s">
        <v>359</v>
      </c>
    </row>
    <row r="1545" spans="1:9" ht="15" customHeight="1" x14ac:dyDescent="0.2">
      <c r="A1545" s="4" t="s">
        <v>368</v>
      </c>
      <c r="B1545" s="4" t="s">
        <v>847</v>
      </c>
      <c r="C1545" s="4" t="str">
        <f ca="1">IFERROR(__xludf.DUMMYFUNCTION("ARRAY_CONSTRAIN(ARRAYFORMULA(SINGLE(TEXTJOIN(""_"",TRUE,D1545,G1545))), 1, 1)"),"State Policy Network_2012")</f>
        <v>State Policy Network_2012</v>
      </c>
      <c r="D1545" s="4" t="s">
        <v>46</v>
      </c>
      <c r="E1545" s="4" t="s">
        <v>239</v>
      </c>
      <c r="F1545" s="6">
        <v>25000</v>
      </c>
      <c r="G1545" s="4">
        <v>2012</v>
      </c>
      <c r="H1545" s="4" t="s">
        <v>359</v>
      </c>
    </row>
    <row r="1546" spans="1:9" ht="15" customHeight="1" x14ac:dyDescent="0.2">
      <c r="A1546" s="4" t="s">
        <v>368</v>
      </c>
      <c r="B1546" s="4" t="s">
        <v>848</v>
      </c>
      <c r="C1546" s="4" t="str">
        <f ca="1">IFERROR(__xludf.DUMMYFUNCTION("ARRAY_CONSTRAIN(ARRAYFORMULA(SINGLE(TEXTJOIN(""_"",TRUE,D1546,G1546))), 1, 1)"),"State Policy Network_2012")</f>
        <v>State Policy Network_2012</v>
      </c>
      <c r="D1546" s="4" t="s">
        <v>46</v>
      </c>
      <c r="E1546" s="4" t="s">
        <v>249</v>
      </c>
      <c r="F1546" s="6">
        <v>5000</v>
      </c>
      <c r="G1546" s="4">
        <v>2012</v>
      </c>
      <c r="H1546" s="4" t="s">
        <v>359</v>
      </c>
    </row>
    <row r="1547" spans="1:9" ht="15" customHeight="1" x14ac:dyDescent="0.2">
      <c r="A1547" s="4" t="s">
        <v>368</v>
      </c>
      <c r="B1547" s="4" t="s">
        <v>849</v>
      </c>
      <c r="C1547" s="4" t="str">
        <f ca="1">IFERROR(__xludf.DUMMYFUNCTION("ARRAY_CONSTRAIN(ARRAYFORMULA(SINGLE(TEXTJOIN(""_"",TRUE,D1547,G1547))), 1, 1)"),"State Policy Network_2012")</f>
        <v>State Policy Network_2012</v>
      </c>
      <c r="D1547" s="4" t="s">
        <v>46</v>
      </c>
      <c r="E1547" s="4" t="s">
        <v>252</v>
      </c>
      <c r="F1547" s="6">
        <v>5000</v>
      </c>
      <c r="G1547" s="4">
        <v>2012</v>
      </c>
      <c r="H1547" s="4" t="s">
        <v>359</v>
      </c>
    </row>
    <row r="1548" spans="1:9" ht="15" customHeight="1" x14ac:dyDescent="0.2">
      <c r="A1548" s="4" t="s">
        <v>368</v>
      </c>
      <c r="B1548" s="4" t="s">
        <v>850</v>
      </c>
      <c r="C1548" s="4" t="str">
        <f ca="1">IFERROR(__xludf.DUMMYFUNCTION("ARRAY_CONSTRAIN(ARRAYFORMULA(SINGLE(TEXTJOIN(""_"",TRUE,D1548,G1548))), 1, 1)"),"State Policy Network_2012")</f>
        <v>State Policy Network_2012</v>
      </c>
      <c r="D1548" s="4" t="s">
        <v>46</v>
      </c>
      <c r="E1548" s="4" t="s">
        <v>262</v>
      </c>
      <c r="F1548" s="6">
        <v>82500</v>
      </c>
      <c r="G1548" s="4">
        <v>2012</v>
      </c>
      <c r="H1548" s="4" t="s">
        <v>359</v>
      </c>
    </row>
    <row r="1549" spans="1:9" ht="15" customHeight="1" x14ac:dyDescent="0.2">
      <c r="A1549" s="4" t="s">
        <v>368</v>
      </c>
      <c r="B1549" s="4" t="s">
        <v>851</v>
      </c>
      <c r="C1549" s="4" t="str">
        <f ca="1">IFERROR(__xludf.DUMMYFUNCTION("ARRAY_CONSTRAIN(ARRAYFORMULA(SINGLE(TEXTJOIN(""_"",TRUE,D1549,G1549))), 1, 1)"),"State Policy Network_2012")</f>
        <v>State Policy Network_2012</v>
      </c>
      <c r="D1549" s="4" t="s">
        <v>46</v>
      </c>
      <c r="E1549" s="4" t="s">
        <v>269</v>
      </c>
      <c r="F1549" s="6">
        <v>10000</v>
      </c>
      <c r="G1549" s="4">
        <v>2012</v>
      </c>
      <c r="H1549" s="4" t="s">
        <v>359</v>
      </c>
    </row>
    <row r="1550" spans="1:9" ht="15" customHeight="1" x14ac:dyDescent="0.2">
      <c r="A1550" s="4" t="s">
        <v>368</v>
      </c>
      <c r="B1550" s="4" t="s">
        <v>852</v>
      </c>
      <c r="C1550" s="4" t="str">
        <f ca="1">IFERROR(__xludf.DUMMYFUNCTION("ARRAY_CONSTRAIN(ARRAYFORMULA(SINGLE(TEXTJOIN(""_"",TRUE,D1550,G1550))), 1, 1)"),"State Policy Network_2012")</f>
        <v>State Policy Network_2012</v>
      </c>
      <c r="D1550" s="4" t="s">
        <v>46</v>
      </c>
      <c r="E1550" s="4" t="s">
        <v>271</v>
      </c>
      <c r="F1550" s="6">
        <v>108150</v>
      </c>
      <c r="G1550" s="4">
        <v>2012</v>
      </c>
      <c r="H1550" s="4" t="s">
        <v>359</v>
      </c>
    </row>
    <row r="1551" spans="1:9" ht="15" customHeight="1" x14ac:dyDescent="0.2">
      <c r="A1551" s="4" t="s">
        <v>368</v>
      </c>
      <c r="B1551" s="4" t="s">
        <v>853</v>
      </c>
      <c r="C1551" s="4" t="str">
        <f ca="1">IFERROR(__xludf.DUMMYFUNCTION("ARRAY_CONSTRAIN(ARRAYFORMULA(SINGLE(TEXTJOIN(""_"",TRUE,D1551,G1551))), 1, 1)"),"State Policy Network_2012")</f>
        <v>State Policy Network_2012</v>
      </c>
      <c r="D1551" s="4" t="s">
        <v>46</v>
      </c>
      <c r="E1551" s="4" t="s">
        <v>272</v>
      </c>
      <c r="F1551" s="6">
        <v>100000</v>
      </c>
      <c r="G1551" s="4">
        <v>2012</v>
      </c>
      <c r="H1551" s="4" t="s">
        <v>359</v>
      </c>
    </row>
    <row r="1552" spans="1:9" ht="15" customHeight="1" x14ac:dyDescent="0.2">
      <c r="A1552" s="4" t="s">
        <v>368</v>
      </c>
      <c r="B1552" s="4" t="s">
        <v>854</v>
      </c>
      <c r="C1552" s="4" t="str">
        <f ca="1">IFERROR(__xludf.DUMMYFUNCTION("ARRAY_CONSTRAIN(ARRAYFORMULA(SINGLE(TEXTJOIN(""_"",TRUE,D1552,G1552))), 1, 1)"),"State Policy Network_2012")</f>
        <v>State Policy Network_2012</v>
      </c>
      <c r="D1552" s="4" t="s">
        <v>46</v>
      </c>
      <c r="E1552" s="4" t="s">
        <v>273</v>
      </c>
      <c r="F1552" s="6">
        <v>29500</v>
      </c>
      <c r="G1552" s="4">
        <v>2012</v>
      </c>
      <c r="H1552" s="4" t="s">
        <v>359</v>
      </c>
    </row>
    <row r="1553" spans="1:8" ht="15" customHeight="1" x14ac:dyDescent="0.2">
      <c r="A1553" s="4" t="s">
        <v>368</v>
      </c>
      <c r="B1553" s="4" t="s">
        <v>855</v>
      </c>
      <c r="C1553" s="4" t="str">
        <f ca="1">IFERROR(__xludf.DUMMYFUNCTION("ARRAY_CONSTRAIN(ARRAYFORMULA(SINGLE(TEXTJOIN(""_"",TRUE,D1553,G1553))), 1, 1)"),"State Policy Network_2012")</f>
        <v>State Policy Network_2012</v>
      </c>
      <c r="D1553" s="4" t="s">
        <v>46</v>
      </c>
      <c r="E1553" s="4" t="s">
        <v>268</v>
      </c>
      <c r="F1553" s="6">
        <v>51000</v>
      </c>
      <c r="G1553" s="4">
        <v>2012</v>
      </c>
      <c r="H1553" s="4" t="s">
        <v>788</v>
      </c>
    </row>
    <row r="1554" spans="1:8" ht="15" customHeight="1" x14ac:dyDescent="0.2">
      <c r="A1554" s="4" t="s">
        <v>368</v>
      </c>
      <c r="B1554" s="4" t="s">
        <v>856</v>
      </c>
      <c r="C1554" s="4" t="str">
        <f ca="1">IFERROR(__xludf.DUMMYFUNCTION("ARRAY_CONSTRAIN(ARRAYFORMULA(SINGLE(TEXTJOIN(""_"",TRUE,D1554,G1554))), 1, 1)"),"State Policy Network_2012")</f>
        <v>State Policy Network_2012</v>
      </c>
      <c r="D1554" s="4" t="s">
        <v>46</v>
      </c>
      <c r="E1554" s="4" t="s">
        <v>278</v>
      </c>
      <c r="F1554" s="6">
        <v>25000</v>
      </c>
      <c r="G1554" s="4">
        <v>2012</v>
      </c>
      <c r="H1554" s="4" t="s">
        <v>359</v>
      </c>
    </row>
    <row r="1555" spans="1:8" ht="15" customHeight="1" x14ac:dyDescent="0.2">
      <c r="A1555" s="4" t="s">
        <v>368</v>
      </c>
      <c r="B1555" s="4" t="s">
        <v>857</v>
      </c>
      <c r="C1555" s="4" t="str">
        <f ca="1">IFERROR(__xludf.DUMMYFUNCTION("ARRAY_CONSTRAIN(ARRAYFORMULA(SINGLE(TEXTJOIN(""_"",TRUE,D1555,G1555))), 1, 1)"),"State Policy Network_2012")</f>
        <v>State Policy Network_2012</v>
      </c>
      <c r="D1555" s="4" t="s">
        <v>46</v>
      </c>
      <c r="E1555" s="4" t="s">
        <v>285</v>
      </c>
      <c r="F1555" s="6">
        <v>30000</v>
      </c>
      <c r="G1555" s="4">
        <v>2012</v>
      </c>
      <c r="H1555" s="4" t="s">
        <v>359</v>
      </c>
    </row>
    <row r="1556" spans="1:8" ht="15" customHeight="1" x14ac:dyDescent="0.2">
      <c r="A1556" s="4" t="s">
        <v>368</v>
      </c>
      <c r="B1556" s="4" t="s">
        <v>858</v>
      </c>
      <c r="C1556" s="4" t="str">
        <f ca="1">IFERROR(__xludf.DUMMYFUNCTION("ARRAY_CONSTRAIN(ARRAYFORMULA(SINGLE(TEXTJOIN(""_"",TRUE,D1556,G1556))), 1, 1)"),"State Policy Network_2012")</f>
        <v>State Policy Network_2012</v>
      </c>
      <c r="D1556" s="4" t="s">
        <v>46</v>
      </c>
      <c r="E1556" s="4" t="s">
        <v>286</v>
      </c>
      <c r="F1556" s="6">
        <v>167000</v>
      </c>
      <c r="G1556" s="4">
        <v>2012</v>
      </c>
      <c r="H1556" s="4" t="s">
        <v>359</v>
      </c>
    </row>
    <row r="1557" spans="1:8" ht="15" customHeight="1" x14ac:dyDescent="0.2">
      <c r="A1557" s="4" t="s">
        <v>368</v>
      </c>
      <c r="B1557" s="4" t="s">
        <v>859</v>
      </c>
      <c r="C1557" s="4" t="str">
        <f ca="1">IFERROR(__xludf.DUMMYFUNCTION("ARRAY_CONSTRAIN(ARRAYFORMULA(SINGLE(TEXTJOIN(""_"",TRUE,D1557,G1557))), 1, 1)"),"State Policy Network_2012")</f>
        <v>State Policy Network_2012</v>
      </c>
      <c r="D1557" s="4" t="s">
        <v>46</v>
      </c>
      <c r="E1557" s="4" t="s">
        <v>287</v>
      </c>
      <c r="F1557" s="6">
        <v>95000</v>
      </c>
      <c r="G1557" s="4">
        <v>2012</v>
      </c>
      <c r="H1557" s="4" t="s">
        <v>359</v>
      </c>
    </row>
    <row r="1558" spans="1:8" ht="15" customHeight="1" x14ac:dyDescent="0.2">
      <c r="A1558" s="4" t="s">
        <v>368</v>
      </c>
      <c r="B1558" s="4" t="s">
        <v>860</v>
      </c>
      <c r="C1558" s="4" t="str">
        <f ca="1">IFERROR(__xludf.DUMMYFUNCTION("ARRAY_CONSTRAIN(ARRAYFORMULA(SINGLE(TEXTJOIN(""_"",TRUE,D1558,G1558))), 1, 1)"),"State Policy Network_2012")</f>
        <v>State Policy Network_2012</v>
      </c>
      <c r="D1558" s="4" t="s">
        <v>46</v>
      </c>
      <c r="E1558" s="4" t="s">
        <v>291</v>
      </c>
      <c r="F1558" s="6">
        <v>200000</v>
      </c>
      <c r="G1558" s="4">
        <v>2012</v>
      </c>
      <c r="H1558" s="4" t="s">
        <v>359</v>
      </c>
    </row>
    <row r="1559" spans="1:8" ht="15" customHeight="1" x14ac:dyDescent="0.2">
      <c r="A1559" s="4" t="s">
        <v>368</v>
      </c>
      <c r="B1559" s="4" t="s">
        <v>861</v>
      </c>
      <c r="C1559" s="4" t="str">
        <f ca="1">IFERROR(__xludf.DUMMYFUNCTION("ARRAY_CONSTRAIN(ARRAYFORMULA(SINGLE(TEXTJOIN(""_"",TRUE,D1559,G1559))), 1, 1)"),"State Policy Network_2012")</f>
        <v>State Policy Network_2012</v>
      </c>
      <c r="D1559" s="4" t="s">
        <v>46</v>
      </c>
      <c r="E1559" s="4" t="s">
        <v>293</v>
      </c>
      <c r="F1559" s="6">
        <v>30000</v>
      </c>
      <c r="G1559" s="4">
        <v>2012</v>
      </c>
      <c r="H1559" s="4" t="s">
        <v>359</v>
      </c>
    </row>
    <row r="1560" spans="1:8" ht="15" customHeight="1" x14ac:dyDescent="0.2">
      <c r="A1560" s="4" t="s">
        <v>368</v>
      </c>
      <c r="B1560" s="4" t="s">
        <v>862</v>
      </c>
      <c r="C1560" s="4" t="str">
        <f ca="1">IFERROR(__xludf.DUMMYFUNCTION("ARRAY_CONSTRAIN(ARRAYFORMULA(SINGLE(TEXTJOIN(""_"",TRUE,D1560,G1560))), 1, 1)"),"State Policy Network_2012")</f>
        <v>State Policy Network_2012</v>
      </c>
      <c r="D1560" s="4" t="s">
        <v>46</v>
      </c>
      <c r="E1560" s="4" t="s">
        <v>303</v>
      </c>
      <c r="F1560" s="6">
        <v>69250</v>
      </c>
      <c r="G1560" s="4">
        <v>2012</v>
      </c>
      <c r="H1560" s="4" t="s">
        <v>359</v>
      </c>
    </row>
    <row r="1561" spans="1:8" ht="15" customHeight="1" x14ac:dyDescent="0.2">
      <c r="A1561" s="4" t="s">
        <v>368</v>
      </c>
      <c r="B1561" s="4" t="s">
        <v>863</v>
      </c>
      <c r="C1561" s="4" t="str">
        <f ca="1">IFERROR(__xludf.DUMMYFUNCTION("ARRAY_CONSTRAIN(ARRAYFORMULA(SINGLE(TEXTJOIN(""_"",TRUE,D1561,G1561))), 1, 1)"),"State Policy Network_2012")</f>
        <v>State Policy Network_2012</v>
      </c>
      <c r="D1561" s="4" t="s">
        <v>46</v>
      </c>
      <c r="E1561" s="4" t="s">
        <v>305</v>
      </c>
      <c r="F1561" s="6">
        <v>5000</v>
      </c>
      <c r="G1561" s="4">
        <v>2012</v>
      </c>
      <c r="H1561" s="4" t="s">
        <v>359</v>
      </c>
    </row>
    <row r="1562" spans="1:8" ht="15" customHeight="1" x14ac:dyDescent="0.2">
      <c r="A1562" s="4" t="s">
        <v>368</v>
      </c>
      <c r="B1562" s="4" t="s">
        <v>864</v>
      </c>
      <c r="C1562" s="4" t="str">
        <f ca="1">IFERROR(__xludf.DUMMYFUNCTION("ARRAY_CONSTRAIN(ARRAYFORMULA(SINGLE(TEXTJOIN(""_"",TRUE,D1562,G1562))), 1, 1)"),"State Policy Network_2012")</f>
        <v>State Policy Network_2012</v>
      </c>
      <c r="D1562" s="4" t="s">
        <v>46</v>
      </c>
      <c r="E1562" s="4" t="s">
        <v>307</v>
      </c>
      <c r="F1562" s="6">
        <v>30000</v>
      </c>
      <c r="G1562" s="4">
        <v>2012</v>
      </c>
      <c r="H1562" s="4" t="s">
        <v>359</v>
      </c>
    </row>
    <row r="1563" spans="1:8" ht="15" customHeight="1" x14ac:dyDescent="0.2">
      <c r="A1563" s="4" t="s">
        <v>368</v>
      </c>
      <c r="B1563" s="4" t="s">
        <v>865</v>
      </c>
      <c r="C1563" s="4" t="str">
        <f ca="1">IFERROR(__xludf.DUMMYFUNCTION("ARRAY_CONSTRAIN(ARRAYFORMULA(SINGLE(TEXTJOIN(""_"",TRUE,D1563,G1563))), 1, 1)"),"State Policy Network_2012")</f>
        <v>State Policy Network_2012</v>
      </c>
      <c r="D1563" s="4" t="s">
        <v>46</v>
      </c>
      <c r="E1563" s="4" t="s">
        <v>310</v>
      </c>
      <c r="F1563" s="6">
        <v>67000</v>
      </c>
      <c r="G1563" s="4">
        <v>2012</v>
      </c>
      <c r="H1563" s="4" t="s">
        <v>359</v>
      </c>
    </row>
    <row r="1564" spans="1:8" ht="15" customHeight="1" x14ac:dyDescent="0.2">
      <c r="A1564" s="4" t="s">
        <v>368</v>
      </c>
      <c r="B1564" s="4" t="s">
        <v>866</v>
      </c>
      <c r="C1564" s="4" t="str">
        <f ca="1">IFERROR(__xludf.DUMMYFUNCTION("ARRAY_CONSTRAIN(ARRAYFORMULA(SINGLE(TEXTJOIN(""_"",TRUE,D1564,G1564))), 1, 1)"),"State Policy Network_2012")</f>
        <v>State Policy Network_2012</v>
      </c>
      <c r="D1564" s="4" t="s">
        <v>46</v>
      </c>
      <c r="E1564" s="4" t="s">
        <v>313</v>
      </c>
      <c r="F1564" s="6">
        <v>27000</v>
      </c>
      <c r="G1564" s="4">
        <v>2012</v>
      </c>
      <c r="H1564" s="4" t="s">
        <v>359</v>
      </c>
    </row>
    <row r="1565" spans="1:8" ht="15" customHeight="1" x14ac:dyDescent="0.2">
      <c r="A1565" s="4" t="s">
        <v>368</v>
      </c>
      <c r="B1565" s="4" t="s">
        <v>867</v>
      </c>
      <c r="C1565" s="4" t="str">
        <f ca="1">IFERROR(__xludf.DUMMYFUNCTION("ARRAY_CONSTRAIN(ARRAYFORMULA(SINGLE(TEXTJOIN(""_"",TRUE,D1565,G1565))), 1, 1)"),"State Policy Network_2012")</f>
        <v>State Policy Network_2012</v>
      </c>
      <c r="D1565" s="4" t="s">
        <v>46</v>
      </c>
      <c r="E1565" s="4" t="s">
        <v>315</v>
      </c>
      <c r="F1565" s="6">
        <v>150000</v>
      </c>
      <c r="G1565" s="4">
        <v>2012</v>
      </c>
      <c r="H1565" s="4" t="s">
        <v>359</v>
      </c>
    </row>
    <row r="1566" spans="1:8" ht="15" customHeight="1" x14ac:dyDescent="0.2">
      <c r="A1566" s="4" t="s">
        <v>368</v>
      </c>
      <c r="B1566" s="4" t="s">
        <v>868</v>
      </c>
      <c r="C1566" s="4" t="str">
        <f ca="1">IFERROR(__xludf.DUMMYFUNCTION("ARRAY_CONSTRAIN(ARRAYFORMULA(SINGLE(TEXTJOIN(""_"",TRUE,D1566,G1566))), 1, 1)"),"State Policy Network_2012")</f>
        <v>State Policy Network_2012</v>
      </c>
      <c r="D1566" s="4" t="s">
        <v>46</v>
      </c>
      <c r="E1566" s="4" t="s">
        <v>317</v>
      </c>
      <c r="F1566" s="6">
        <v>221900</v>
      </c>
      <c r="G1566" s="4">
        <v>2012</v>
      </c>
      <c r="H1566" s="4" t="s">
        <v>359</v>
      </c>
    </row>
    <row r="1567" spans="1:8" ht="15" customHeight="1" x14ac:dyDescent="0.2">
      <c r="A1567" s="4" t="s">
        <v>368</v>
      </c>
      <c r="B1567" s="4" t="s">
        <v>869</v>
      </c>
      <c r="C1567" s="4" t="str">
        <f ca="1">IFERROR(__xludf.DUMMYFUNCTION("ARRAY_CONSTRAIN(ARRAYFORMULA(SINGLE(TEXTJOIN(""_"",TRUE,D1567,G1567))), 1, 1)"),"State Policy Network_2012")</f>
        <v>State Policy Network_2012</v>
      </c>
      <c r="D1567" s="4" t="s">
        <v>46</v>
      </c>
      <c r="E1567" s="4" t="s">
        <v>319</v>
      </c>
      <c r="F1567" s="6">
        <v>265775</v>
      </c>
      <c r="G1567" s="4">
        <v>2012</v>
      </c>
      <c r="H1567" s="4" t="s">
        <v>788</v>
      </c>
    </row>
    <row r="1568" spans="1:8" ht="15" customHeight="1" x14ac:dyDescent="0.2">
      <c r="A1568" s="4" t="s">
        <v>368</v>
      </c>
      <c r="B1568" s="4" t="s">
        <v>870</v>
      </c>
      <c r="C1568" s="4" t="str">
        <f ca="1">IFERROR(__xludf.DUMMYFUNCTION("ARRAY_CONSTRAIN(ARRAYFORMULA(SINGLE(TEXTJOIN(""_"",TRUE,D1568,G1568))), 1, 1)"),"State Policy Network_2012")</f>
        <v>State Policy Network_2012</v>
      </c>
      <c r="D1568" s="4" t="s">
        <v>46</v>
      </c>
      <c r="E1568" s="4" t="s">
        <v>320</v>
      </c>
      <c r="F1568" s="6">
        <v>200000</v>
      </c>
      <c r="G1568" s="4">
        <v>2012</v>
      </c>
      <c r="H1568" s="4" t="s">
        <v>359</v>
      </c>
    </row>
    <row r="1569" spans="1:9" ht="15" customHeight="1" x14ac:dyDescent="0.2">
      <c r="A1569" s="4" t="s">
        <v>368</v>
      </c>
      <c r="B1569" s="4" t="s">
        <v>871</v>
      </c>
      <c r="C1569" s="4" t="str">
        <f ca="1">IFERROR(__xludf.DUMMYFUNCTION("ARRAY_CONSTRAIN(ARRAYFORMULA(SINGLE(TEXTJOIN(""_"",TRUE,D1569,G1569))), 1, 1)"),"State Policy Network_2012")</f>
        <v>State Policy Network_2012</v>
      </c>
      <c r="D1569" s="4" t="s">
        <v>46</v>
      </c>
      <c r="E1569" s="4" t="s">
        <v>334</v>
      </c>
      <c r="F1569" s="6">
        <v>55000</v>
      </c>
      <c r="G1569" s="4">
        <v>2012</v>
      </c>
      <c r="H1569" s="4" t="s">
        <v>359</v>
      </c>
      <c r="I1569" s="4" t="s">
        <v>751</v>
      </c>
    </row>
    <row r="1570" spans="1:9" ht="15" customHeight="1" x14ac:dyDescent="0.2">
      <c r="A1570" s="4" t="s">
        <v>368</v>
      </c>
      <c r="B1570" s="4" t="s">
        <v>872</v>
      </c>
      <c r="C1570" s="4" t="str">
        <f ca="1">IFERROR(__xludf.DUMMYFUNCTION("ARRAY_CONSTRAIN(ARRAYFORMULA(SINGLE(TEXTJOIN(""_"",TRUE,D1570,G1570))), 1, 1)"),"State Policy Network_2012")</f>
        <v>State Policy Network_2012</v>
      </c>
      <c r="D1570" s="4" t="s">
        <v>46</v>
      </c>
      <c r="E1570" s="4" t="s">
        <v>335</v>
      </c>
      <c r="F1570" s="6">
        <v>25000</v>
      </c>
      <c r="G1570" s="4">
        <v>2012</v>
      </c>
      <c r="H1570" s="4" t="s">
        <v>359</v>
      </c>
    </row>
    <row r="1571" spans="1:9" ht="15" customHeight="1" x14ac:dyDescent="0.2">
      <c r="A1571" s="4" t="s">
        <v>368</v>
      </c>
      <c r="B1571" s="4" t="s">
        <v>873</v>
      </c>
      <c r="C1571" s="4" t="str">
        <f ca="1">IFERROR(__xludf.DUMMYFUNCTION("ARRAY_CONSTRAIN(ARRAYFORMULA(SINGLE(TEXTJOIN(""_"",TRUE,D1571,G1571))), 1, 1)"),"State Policy Network_2012")</f>
        <v>State Policy Network_2012</v>
      </c>
      <c r="D1571" s="4" t="s">
        <v>46</v>
      </c>
      <c r="E1571" s="4" t="s">
        <v>337</v>
      </c>
      <c r="F1571" s="6">
        <v>75000</v>
      </c>
      <c r="G1571" s="4">
        <v>2012</v>
      </c>
      <c r="H1571" s="4" t="s">
        <v>359</v>
      </c>
    </row>
    <row r="1572" spans="1:9" ht="15" customHeight="1" x14ac:dyDescent="0.2">
      <c r="A1572" s="4" t="s">
        <v>368</v>
      </c>
      <c r="B1572" s="4" t="s">
        <v>874</v>
      </c>
      <c r="C1572" s="4" t="str">
        <f ca="1">IFERROR(__xludf.DUMMYFUNCTION("ARRAY_CONSTRAIN(ARRAYFORMULA(SINGLE(TEXTJOIN(""_"",TRUE,D1572,G1572))), 1, 1)"),"State Policy Network_2012")</f>
        <v>State Policy Network_2012</v>
      </c>
      <c r="D1572" s="4" t="s">
        <v>46</v>
      </c>
      <c r="E1572" s="4" t="s">
        <v>341</v>
      </c>
      <c r="F1572" s="6">
        <v>30000</v>
      </c>
      <c r="G1572" s="4">
        <v>2012</v>
      </c>
      <c r="H1572" s="4" t="s">
        <v>359</v>
      </c>
    </row>
    <row r="1573" spans="1:9" ht="15" customHeight="1" x14ac:dyDescent="0.2">
      <c r="A1573" s="4" t="s">
        <v>368</v>
      </c>
      <c r="B1573" s="4" t="s">
        <v>875</v>
      </c>
      <c r="C1573" s="4" t="str">
        <f ca="1">IFERROR(__xludf.DUMMYFUNCTION("ARRAY_CONSTRAIN(ARRAYFORMULA(SINGLE(TEXTJOIN(""_"",TRUE,D1573,G1573))), 1, 1)"),"State Policy Network_2012")</f>
        <v>State Policy Network_2012</v>
      </c>
      <c r="D1573" s="4" t="s">
        <v>46</v>
      </c>
      <c r="E1573" s="4" t="s">
        <v>342</v>
      </c>
      <c r="F1573" s="6">
        <v>30000</v>
      </c>
      <c r="G1573" s="4">
        <v>2012</v>
      </c>
      <c r="H1573" s="4" t="s">
        <v>359</v>
      </c>
    </row>
    <row r="1574" spans="1:9" ht="15" customHeight="1" x14ac:dyDescent="0.2">
      <c r="A1574" s="4" t="s">
        <v>368</v>
      </c>
      <c r="B1574" s="4" t="s">
        <v>876</v>
      </c>
      <c r="C1574" s="4" t="str">
        <f ca="1">IFERROR(__xludf.DUMMYFUNCTION("ARRAY_CONSTRAIN(ARRAYFORMULA(SINGLE(TEXTJOIN(""_"",TRUE,D1574,G1574))), 1, 1)"),"State Policy Network_2012")</f>
        <v>State Policy Network_2012</v>
      </c>
      <c r="D1574" s="4" t="s">
        <v>46</v>
      </c>
      <c r="E1574" s="4" t="s">
        <v>346</v>
      </c>
      <c r="F1574" s="6">
        <v>40000</v>
      </c>
      <c r="G1574" s="4">
        <v>2012</v>
      </c>
      <c r="H1574" s="4" t="s">
        <v>359</v>
      </c>
    </row>
    <row r="1575" spans="1:9" ht="15" customHeight="1" x14ac:dyDescent="0.2">
      <c r="A1575" s="4" t="s">
        <v>368</v>
      </c>
      <c r="B1575" s="4" t="s">
        <v>877</v>
      </c>
      <c r="C1575" s="4" t="str">
        <f ca="1">IFERROR(__xludf.DUMMYFUNCTION("ARRAY_CONSTRAIN(ARRAYFORMULA(SINGLE(TEXTJOIN(""_"",TRUE,D1575,G1575))), 1, 1)"),"State Policy Network_2012")</f>
        <v>State Policy Network_2012</v>
      </c>
      <c r="D1575" s="4" t="s">
        <v>46</v>
      </c>
      <c r="E1575" s="4" t="s">
        <v>348</v>
      </c>
      <c r="F1575" s="6">
        <v>9250</v>
      </c>
      <c r="G1575" s="4">
        <v>2012</v>
      </c>
      <c r="H1575" s="4" t="s">
        <v>359</v>
      </c>
    </row>
    <row r="1576" spans="1:9" ht="15" customHeight="1" x14ac:dyDescent="0.2">
      <c r="A1576" s="4" t="s">
        <v>368</v>
      </c>
      <c r="B1576" s="4" t="s">
        <v>878</v>
      </c>
      <c r="C1576" s="4" t="str">
        <f ca="1">IFERROR(__xludf.DUMMYFUNCTION("ARRAY_CONSTRAIN(ARRAYFORMULA(SINGLE(TEXTJOIN(""_"",TRUE,D1576,G1576))), 1, 1)"),"State Policy Network_2012")</f>
        <v>State Policy Network_2012</v>
      </c>
      <c r="D1576" s="4" t="s">
        <v>46</v>
      </c>
      <c r="E1576" s="4" t="s">
        <v>349</v>
      </c>
      <c r="F1576" s="6">
        <v>30000</v>
      </c>
      <c r="G1576" s="4">
        <v>2012</v>
      </c>
      <c r="H1576" s="4" t="s">
        <v>359</v>
      </c>
    </row>
    <row r="1577" spans="1:9" ht="15" customHeight="1" x14ac:dyDescent="0.2">
      <c r="A1577" s="4" t="s">
        <v>368</v>
      </c>
      <c r="B1577" s="4" t="s">
        <v>879</v>
      </c>
      <c r="C1577" s="4" t="str">
        <f ca="1">IFERROR(__xludf.DUMMYFUNCTION("ARRAY_CONSTRAIN(ARRAYFORMULA(SINGLE(TEXTJOIN(""_"",TRUE,D1577,G1577))), 1, 1)"),"State Policy Network_2012")</f>
        <v>State Policy Network_2012</v>
      </c>
      <c r="D1577" s="4" t="s">
        <v>46</v>
      </c>
      <c r="E1577" s="4" t="s">
        <v>353</v>
      </c>
      <c r="F1577" s="6">
        <v>22500</v>
      </c>
      <c r="G1577" s="4">
        <v>2012</v>
      </c>
      <c r="H1577" s="4" t="s">
        <v>359</v>
      </c>
    </row>
    <row r="1578" spans="1:9" ht="15" customHeight="1" x14ac:dyDescent="0.2">
      <c r="A1578" s="4" t="s">
        <v>368</v>
      </c>
      <c r="B1578" s="4" t="s">
        <v>880</v>
      </c>
      <c r="C1578" s="4" t="str">
        <f ca="1">IFERROR(__xludf.DUMMYFUNCTION("ARRAY_CONSTRAIN(ARRAYFORMULA(SINGLE(TEXTJOIN(""_"",TRUE,D1578,G1578))), 1, 1)"),"State Policy Network_2011")</f>
        <v>State Policy Network_2011</v>
      </c>
      <c r="D1578" s="4" t="s">
        <v>46</v>
      </c>
      <c r="E1578" s="4" t="s">
        <v>234</v>
      </c>
      <c r="F1578" s="6">
        <v>50000</v>
      </c>
      <c r="G1578" s="4">
        <v>2011</v>
      </c>
    </row>
    <row r="1579" spans="1:9" ht="15" customHeight="1" x14ac:dyDescent="0.2">
      <c r="A1579" s="4" t="s">
        <v>368</v>
      </c>
      <c r="B1579" s="4" t="s">
        <v>881</v>
      </c>
      <c r="C1579" s="4" t="str">
        <f ca="1">IFERROR(__xludf.DUMMYFUNCTION("ARRAY_CONSTRAIN(ARRAYFORMULA(SINGLE(TEXTJOIN(""_"",TRUE,D1579,G1579))), 1, 1)"),"State Policy Network_2011")</f>
        <v>State Policy Network_2011</v>
      </c>
      <c r="D1579" s="4" t="s">
        <v>46</v>
      </c>
      <c r="E1579" s="4" t="s">
        <v>250</v>
      </c>
      <c r="F1579" s="6">
        <v>29500</v>
      </c>
      <c r="G1579" s="4">
        <v>2011</v>
      </c>
    </row>
    <row r="1580" spans="1:9" ht="15" customHeight="1" x14ac:dyDescent="0.2">
      <c r="A1580" s="4" t="s">
        <v>368</v>
      </c>
      <c r="B1580" s="4" t="s">
        <v>882</v>
      </c>
      <c r="C1580" s="4" t="str">
        <f ca="1">IFERROR(__xludf.DUMMYFUNCTION("ARRAY_CONSTRAIN(ARRAYFORMULA(SINGLE(TEXTJOIN(""_"",TRUE,D1580,G1580))), 1, 1)"),"State Policy Network_2011")</f>
        <v>State Policy Network_2011</v>
      </c>
      <c r="D1580" s="4" t="s">
        <v>46</v>
      </c>
      <c r="E1580" s="4" t="s">
        <v>252</v>
      </c>
      <c r="F1580" s="6">
        <v>20000</v>
      </c>
      <c r="G1580" s="4">
        <v>2011</v>
      </c>
    </row>
    <row r="1581" spans="1:9" ht="15" customHeight="1" x14ac:dyDescent="0.2">
      <c r="A1581" s="4" t="s">
        <v>368</v>
      </c>
      <c r="B1581" s="4" t="s">
        <v>883</v>
      </c>
      <c r="C1581" s="4" t="str">
        <f ca="1">IFERROR(__xludf.DUMMYFUNCTION("ARRAY_CONSTRAIN(ARRAYFORMULA(SINGLE(TEXTJOIN(""_"",TRUE,D1581,G1581))), 1, 1)"),"State Policy Network_2011")</f>
        <v>State Policy Network_2011</v>
      </c>
      <c r="D1581" s="4" t="s">
        <v>46</v>
      </c>
      <c r="E1581" s="4" t="s">
        <v>256</v>
      </c>
      <c r="F1581" s="6">
        <v>30000</v>
      </c>
      <c r="G1581" s="4">
        <v>2011</v>
      </c>
    </row>
    <row r="1582" spans="1:9" ht="15" customHeight="1" x14ac:dyDescent="0.2">
      <c r="A1582" s="4" t="s">
        <v>368</v>
      </c>
      <c r="B1582" s="4" t="s">
        <v>884</v>
      </c>
      <c r="C1582" s="4" t="str">
        <f ca="1">IFERROR(__xludf.DUMMYFUNCTION("ARRAY_CONSTRAIN(ARRAYFORMULA(SINGLE(TEXTJOIN(""_"",TRUE,D1582,G1582))), 1, 1)"),"State Policy Network_2011")</f>
        <v>State Policy Network_2011</v>
      </c>
      <c r="D1582" s="4" t="s">
        <v>46</v>
      </c>
      <c r="E1582" s="4" t="s">
        <v>262</v>
      </c>
      <c r="F1582" s="6">
        <v>45000</v>
      </c>
      <c r="G1582" s="4">
        <v>2011</v>
      </c>
    </row>
    <row r="1583" spans="1:9" ht="15" customHeight="1" x14ac:dyDescent="0.2">
      <c r="A1583" s="4" t="s">
        <v>368</v>
      </c>
      <c r="B1583" s="4" t="s">
        <v>885</v>
      </c>
      <c r="C1583" s="4" t="str">
        <f ca="1">IFERROR(__xludf.DUMMYFUNCTION("ARRAY_CONSTRAIN(ARRAYFORMULA(SINGLE(TEXTJOIN(""_"",TRUE,D1583,G1583))), 1, 1)"),"State Policy Network_2011")</f>
        <v>State Policy Network_2011</v>
      </c>
      <c r="D1583" s="4" t="s">
        <v>46</v>
      </c>
      <c r="E1583" s="4" t="s">
        <v>269</v>
      </c>
      <c r="F1583" s="6">
        <v>10000</v>
      </c>
      <c r="G1583" s="4">
        <v>2011</v>
      </c>
    </row>
    <row r="1584" spans="1:9" ht="15" customHeight="1" x14ac:dyDescent="0.2">
      <c r="A1584" s="4" t="s">
        <v>368</v>
      </c>
      <c r="B1584" s="4" t="s">
        <v>886</v>
      </c>
      <c r="C1584" s="4" t="str">
        <f ca="1">IFERROR(__xludf.DUMMYFUNCTION("ARRAY_CONSTRAIN(ARRAYFORMULA(SINGLE(TEXTJOIN(""_"",TRUE,D1584,G1584))), 1, 1)"),"State Policy Network_2011")</f>
        <v>State Policy Network_2011</v>
      </c>
      <c r="D1584" s="4" t="s">
        <v>46</v>
      </c>
      <c r="E1584" s="4" t="s">
        <v>271</v>
      </c>
      <c r="F1584" s="6">
        <v>60000</v>
      </c>
      <c r="G1584" s="4">
        <v>2011</v>
      </c>
    </row>
    <row r="1585" spans="1:8" ht="15" customHeight="1" x14ac:dyDescent="0.2">
      <c r="A1585" s="4" t="s">
        <v>368</v>
      </c>
      <c r="B1585" s="4" t="s">
        <v>887</v>
      </c>
      <c r="C1585" s="4" t="str">
        <f ca="1">IFERROR(__xludf.DUMMYFUNCTION("ARRAY_CONSTRAIN(ARRAYFORMULA(SINGLE(TEXTJOIN(""_"",TRUE,D1585,G1585))), 1, 1)"),"State Policy Network_2011")</f>
        <v>State Policy Network_2011</v>
      </c>
      <c r="D1585" s="4" t="s">
        <v>46</v>
      </c>
      <c r="E1585" s="4" t="s">
        <v>268</v>
      </c>
      <c r="F1585" s="6">
        <v>33500</v>
      </c>
      <c r="G1585" s="4">
        <v>2011</v>
      </c>
      <c r="H1585" s="4" t="s">
        <v>788</v>
      </c>
    </row>
    <row r="1586" spans="1:8" ht="15" customHeight="1" x14ac:dyDescent="0.2">
      <c r="A1586" s="4" t="s">
        <v>368</v>
      </c>
      <c r="B1586" s="4" t="s">
        <v>888</v>
      </c>
      <c r="C1586" s="4" t="str">
        <f ca="1">IFERROR(__xludf.DUMMYFUNCTION("ARRAY_CONSTRAIN(ARRAYFORMULA(SINGLE(TEXTJOIN(""_"",TRUE,D1586,G1586))), 1, 1)"),"State Policy Network_2011")</f>
        <v>State Policy Network_2011</v>
      </c>
      <c r="D1586" s="4" t="s">
        <v>46</v>
      </c>
      <c r="E1586" s="4" t="s">
        <v>277</v>
      </c>
      <c r="F1586" s="6">
        <v>24500</v>
      </c>
      <c r="G1586" s="4">
        <v>2011</v>
      </c>
    </row>
    <row r="1587" spans="1:8" ht="15" customHeight="1" x14ac:dyDescent="0.2">
      <c r="A1587" s="4" t="s">
        <v>368</v>
      </c>
      <c r="B1587" s="4" t="s">
        <v>889</v>
      </c>
      <c r="C1587" s="4" t="str">
        <f ca="1">IFERROR(__xludf.DUMMYFUNCTION("ARRAY_CONSTRAIN(ARRAYFORMULA(SINGLE(TEXTJOIN(""_"",TRUE,D1587,G1587))), 1, 1)"),"State Policy Network_2011")</f>
        <v>State Policy Network_2011</v>
      </c>
      <c r="D1587" s="4" t="s">
        <v>46</v>
      </c>
      <c r="E1587" s="4" t="s">
        <v>278</v>
      </c>
      <c r="F1587" s="6">
        <v>30000</v>
      </c>
      <c r="G1587" s="4">
        <v>2011</v>
      </c>
    </row>
    <row r="1588" spans="1:8" ht="15" customHeight="1" x14ac:dyDescent="0.2">
      <c r="A1588" s="4" t="s">
        <v>368</v>
      </c>
      <c r="B1588" s="4" t="s">
        <v>890</v>
      </c>
      <c r="C1588" s="4" t="str">
        <f ca="1">IFERROR(__xludf.DUMMYFUNCTION("ARRAY_CONSTRAIN(ARRAYFORMULA(SINGLE(TEXTJOIN(""_"",TRUE,D1588,G1588))), 1, 1)"),"State Policy Network_2011")</f>
        <v>State Policy Network_2011</v>
      </c>
      <c r="D1588" s="4" t="s">
        <v>46</v>
      </c>
      <c r="E1588" s="4" t="s">
        <v>286</v>
      </c>
      <c r="F1588" s="6">
        <v>80000</v>
      </c>
      <c r="G1588" s="4">
        <v>2011</v>
      </c>
    </row>
    <row r="1589" spans="1:8" ht="15" customHeight="1" x14ac:dyDescent="0.2">
      <c r="A1589" s="4" t="s">
        <v>368</v>
      </c>
      <c r="B1589" s="4" t="s">
        <v>891</v>
      </c>
      <c r="C1589" s="4" t="str">
        <f ca="1">IFERROR(__xludf.DUMMYFUNCTION("ARRAY_CONSTRAIN(ARRAYFORMULA(SINGLE(TEXTJOIN(""_"",TRUE,D1589,G1589))), 1, 1)"),"State Policy Network_2011")</f>
        <v>State Policy Network_2011</v>
      </c>
      <c r="D1589" s="4" t="s">
        <v>46</v>
      </c>
      <c r="E1589" s="4" t="s">
        <v>303</v>
      </c>
      <c r="F1589" s="6">
        <v>60000</v>
      </c>
      <c r="G1589" s="4">
        <v>2011</v>
      </c>
    </row>
    <row r="1590" spans="1:8" ht="15" customHeight="1" x14ac:dyDescent="0.2">
      <c r="A1590" s="4" t="s">
        <v>368</v>
      </c>
      <c r="B1590" s="4" t="s">
        <v>892</v>
      </c>
      <c r="C1590" s="4" t="str">
        <f ca="1">IFERROR(__xludf.DUMMYFUNCTION("ARRAY_CONSTRAIN(ARRAYFORMULA(SINGLE(TEXTJOIN(""_"",TRUE,D1590,G1590))), 1, 1)"),"State Policy Network_2011")</f>
        <v>State Policy Network_2011</v>
      </c>
      <c r="D1590" s="4" t="s">
        <v>46</v>
      </c>
      <c r="E1590" s="4" t="s">
        <v>313</v>
      </c>
      <c r="F1590" s="6">
        <v>53000</v>
      </c>
      <c r="G1590" s="4">
        <v>2011</v>
      </c>
    </row>
    <row r="1591" spans="1:8" ht="15" customHeight="1" x14ac:dyDescent="0.2">
      <c r="A1591" s="4" t="s">
        <v>368</v>
      </c>
      <c r="B1591" s="4" t="s">
        <v>893</v>
      </c>
      <c r="C1591" s="4" t="str">
        <f ca="1">IFERROR(__xludf.DUMMYFUNCTION("ARRAY_CONSTRAIN(ARRAYFORMULA(SINGLE(TEXTJOIN(""_"",TRUE,D1591,G1591))), 1, 1)"),"State Policy Network_2011")</f>
        <v>State Policy Network_2011</v>
      </c>
      <c r="D1591" s="4" t="s">
        <v>46</v>
      </c>
      <c r="E1591" s="4" t="s">
        <v>315</v>
      </c>
      <c r="F1591" s="6">
        <v>30000</v>
      </c>
      <c r="G1591" s="4">
        <v>2011</v>
      </c>
    </row>
    <row r="1592" spans="1:8" ht="15" customHeight="1" x14ac:dyDescent="0.2">
      <c r="A1592" s="4" t="s">
        <v>368</v>
      </c>
      <c r="B1592" s="4" t="s">
        <v>894</v>
      </c>
      <c r="C1592" s="4" t="str">
        <f ca="1">IFERROR(__xludf.DUMMYFUNCTION("ARRAY_CONSTRAIN(ARRAYFORMULA(SINGLE(TEXTJOIN(""_"",TRUE,D1592,G1592))), 1, 1)"),"State Policy Network_2011")</f>
        <v>State Policy Network_2011</v>
      </c>
      <c r="D1592" s="4" t="s">
        <v>46</v>
      </c>
      <c r="E1592" s="4" t="s">
        <v>317</v>
      </c>
      <c r="F1592" s="6">
        <v>275000</v>
      </c>
      <c r="G1592" s="4">
        <v>2011</v>
      </c>
    </row>
    <row r="1593" spans="1:8" ht="15" customHeight="1" x14ac:dyDescent="0.2">
      <c r="A1593" s="4" t="s">
        <v>368</v>
      </c>
      <c r="B1593" s="4" t="s">
        <v>895</v>
      </c>
      <c r="C1593" s="4" t="str">
        <f ca="1">IFERROR(__xludf.DUMMYFUNCTION("ARRAY_CONSTRAIN(ARRAYFORMULA(SINGLE(TEXTJOIN(""_"",TRUE,D1593,G1593))), 1, 1)"),"State Policy Network_2011")</f>
        <v>State Policy Network_2011</v>
      </c>
      <c r="D1593" s="4" t="s">
        <v>46</v>
      </c>
      <c r="E1593" s="4" t="s">
        <v>320</v>
      </c>
      <c r="F1593" s="6">
        <v>90000</v>
      </c>
      <c r="G1593" s="4">
        <v>2011</v>
      </c>
    </row>
    <row r="1594" spans="1:8" ht="15" customHeight="1" x14ac:dyDescent="0.2">
      <c r="A1594" s="4" t="s">
        <v>368</v>
      </c>
      <c r="B1594" s="4" t="s">
        <v>896</v>
      </c>
      <c r="C1594" s="4" t="str">
        <f ca="1">IFERROR(__xludf.DUMMYFUNCTION("ARRAY_CONSTRAIN(ARRAYFORMULA(SINGLE(TEXTJOIN(""_"",TRUE,D1594,G1594))), 1, 1)"),"State Policy Network_2011")</f>
        <v>State Policy Network_2011</v>
      </c>
      <c r="D1594" s="4" t="s">
        <v>46</v>
      </c>
      <c r="E1594" s="4" t="s">
        <v>330</v>
      </c>
      <c r="F1594" s="6">
        <v>122000</v>
      </c>
      <c r="G1594" s="4">
        <v>2011</v>
      </c>
    </row>
    <row r="1595" spans="1:8" ht="15" customHeight="1" x14ac:dyDescent="0.2">
      <c r="A1595" s="4" t="s">
        <v>368</v>
      </c>
      <c r="B1595" s="4" t="s">
        <v>897</v>
      </c>
      <c r="C1595" s="4" t="str">
        <f ca="1">IFERROR(__xludf.DUMMYFUNCTION("ARRAY_CONSTRAIN(ARRAYFORMULA(SINGLE(TEXTJOIN(""_"",TRUE,D1595,G1595))), 1, 1)"),"State Policy Network_2011")</f>
        <v>State Policy Network_2011</v>
      </c>
      <c r="D1595" s="4" t="s">
        <v>46</v>
      </c>
      <c r="E1595" s="4" t="s">
        <v>331</v>
      </c>
      <c r="F1595" s="6">
        <v>30000</v>
      </c>
      <c r="G1595" s="4">
        <v>2011</v>
      </c>
    </row>
    <row r="1596" spans="1:8" ht="15" customHeight="1" x14ac:dyDescent="0.2">
      <c r="A1596" s="4" t="s">
        <v>368</v>
      </c>
      <c r="B1596" s="4" t="s">
        <v>898</v>
      </c>
      <c r="C1596" s="4" t="str">
        <f ca="1">IFERROR(__xludf.DUMMYFUNCTION("ARRAY_CONSTRAIN(ARRAYFORMULA(SINGLE(TEXTJOIN(""_"",TRUE,D1596,G1596))), 1, 1)"),"State Policy Network_2011")</f>
        <v>State Policy Network_2011</v>
      </c>
      <c r="D1596" s="4" t="s">
        <v>46</v>
      </c>
      <c r="E1596" s="4" t="s">
        <v>344</v>
      </c>
      <c r="F1596" s="6">
        <v>50000</v>
      </c>
      <c r="G1596" s="4">
        <v>2011</v>
      </c>
    </row>
    <row r="1597" spans="1:8" ht="15" customHeight="1" x14ac:dyDescent="0.2">
      <c r="A1597" s="4" t="s">
        <v>368</v>
      </c>
      <c r="B1597" s="4" t="s">
        <v>899</v>
      </c>
      <c r="C1597" s="4" t="str">
        <f ca="1">IFERROR(__xludf.DUMMYFUNCTION("ARRAY_CONSTRAIN(ARRAYFORMULA(SINGLE(TEXTJOIN(""_"",TRUE,D1597,G1597))), 1, 1)"),"State Policy Network_2011")</f>
        <v>State Policy Network_2011</v>
      </c>
      <c r="D1597" s="4" t="s">
        <v>46</v>
      </c>
      <c r="E1597" s="4" t="s">
        <v>345</v>
      </c>
      <c r="F1597" s="6">
        <v>7985</v>
      </c>
      <c r="G1597" s="4">
        <v>2011</v>
      </c>
    </row>
    <row r="1598" spans="1:8" ht="15" customHeight="1" x14ac:dyDescent="0.2">
      <c r="A1598" s="4" t="s">
        <v>368</v>
      </c>
      <c r="B1598" s="4" t="s">
        <v>900</v>
      </c>
      <c r="C1598" s="4" t="str">
        <f ca="1">IFERROR(__xludf.DUMMYFUNCTION("ARRAY_CONSTRAIN(ARRAYFORMULA(SINGLE(TEXTJOIN(""_"",TRUE,D1598,G1598))), 1, 1)"),"State Policy Network_2011")</f>
        <v>State Policy Network_2011</v>
      </c>
      <c r="D1598" s="4" t="s">
        <v>46</v>
      </c>
      <c r="E1598" s="4" t="s">
        <v>348</v>
      </c>
      <c r="F1598" s="6">
        <v>9675</v>
      </c>
      <c r="G1598" s="4">
        <v>2011</v>
      </c>
    </row>
    <row r="1599" spans="1:8" ht="15" customHeight="1" x14ac:dyDescent="0.2">
      <c r="A1599" s="4" t="s">
        <v>368</v>
      </c>
      <c r="B1599" s="4" t="s">
        <v>901</v>
      </c>
      <c r="C1599" s="4" t="str">
        <f ca="1">IFERROR(__xludf.DUMMYFUNCTION("ARRAY_CONSTRAIN(ARRAYFORMULA(SINGLE(TEXTJOIN(""_"",TRUE,D1599,G1599))), 1, 1)"),"State Policy Network_2010")</f>
        <v>State Policy Network_2010</v>
      </c>
      <c r="D1599" s="4" t="s">
        <v>46</v>
      </c>
      <c r="E1599" s="4" t="s">
        <v>250</v>
      </c>
      <c r="F1599" s="6">
        <v>29500</v>
      </c>
      <c r="G1599" s="4">
        <v>2010</v>
      </c>
    </row>
    <row r="1600" spans="1:8" ht="15" customHeight="1" x14ac:dyDescent="0.2">
      <c r="A1600" s="4" t="s">
        <v>368</v>
      </c>
      <c r="B1600" s="4" t="s">
        <v>902</v>
      </c>
      <c r="C1600" s="4" t="str">
        <f ca="1">IFERROR(__xludf.DUMMYFUNCTION("ARRAY_CONSTRAIN(ARRAYFORMULA(SINGLE(TEXTJOIN(""_"",TRUE,D1600,G1600))), 1, 1)"),"State Policy Network_2010")</f>
        <v>State Policy Network_2010</v>
      </c>
      <c r="D1600" s="4" t="s">
        <v>46</v>
      </c>
      <c r="E1600" s="4" t="s">
        <v>253</v>
      </c>
      <c r="F1600" s="6">
        <v>26000</v>
      </c>
      <c r="G1600" s="4">
        <v>2010</v>
      </c>
    </row>
    <row r="1601" spans="1:9" ht="15" customHeight="1" x14ac:dyDescent="0.2">
      <c r="A1601" s="4" t="s">
        <v>368</v>
      </c>
      <c r="B1601" s="4" t="s">
        <v>903</v>
      </c>
      <c r="C1601" s="4" t="str">
        <f ca="1">IFERROR(__xludf.DUMMYFUNCTION("ARRAY_CONSTRAIN(ARRAYFORMULA(SINGLE(TEXTJOIN(""_"",TRUE,D1601,G1601))), 1, 1)"),"State Policy Network_2010")</f>
        <v>State Policy Network_2010</v>
      </c>
      <c r="D1601" s="4" t="s">
        <v>46</v>
      </c>
      <c r="E1601" s="4" t="s">
        <v>256</v>
      </c>
      <c r="F1601" s="6">
        <v>30000</v>
      </c>
      <c r="G1601" s="4">
        <v>2010</v>
      </c>
    </row>
    <row r="1602" spans="1:9" ht="15" customHeight="1" x14ac:dyDescent="0.2">
      <c r="A1602" s="4" t="s">
        <v>368</v>
      </c>
      <c r="B1602" s="4" t="s">
        <v>904</v>
      </c>
      <c r="C1602" s="4" t="str">
        <f ca="1">IFERROR(__xludf.DUMMYFUNCTION("ARRAY_CONSTRAIN(ARRAYFORMULA(SINGLE(TEXTJOIN(""_"",TRUE,D1602,G1602))), 1, 1)"),"State Policy Network_2010")</f>
        <v>State Policy Network_2010</v>
      </c>
      <c r="D1602" s="4" t="s">
        <v>46</v>
      </c>
      <c r="E1602" s="4" t="s">
        <v>262</v>
      </c>
      <c r="F1602" s="6">
        <v>56500</v>
      </c>
      <c r="G1602" s="4">
        <v>2010</v>
      </c>
    </row>
    <row r="1603" spans="1:9" ht="15" customHeight="1" x14ac:dyDescent="0.2">
      <c r="A1603" s="4" t="s">
        <v>368</v>
      </c>
      <c r="B1603" s="4" t="s">
        <v>905</v>
      </c>
      <c r="C1603" s="4" t="str">
        <f ca="1">IFERROR(__xludf.DUMMYFUNCTION("ARRAY_CONSTRAIN(ARRAYFORMULA(SINGLE(TEXTJOIN(""_"",TRUE,D1603,G1603))), 1, 1)"),"State Policy Network_2010")</f>
        <v>State Policy Network_2010</v>
      </c>
      <c r="D1603" s="4" t="s">
        <v>46</v>
      </c>
      <c r="E1603" s="4" t="s">
        <v>267</v>
      </c>
      <c r="F1603" s="6">
        <v>150000</v>
      </c>
      <c r="G1603" s="4">
        <v>2010</v>
      </c>
    </row>
    <row r="1604" spans="1:9" ht="15" customHeight="1" x14ac:dyDescent="0.2">
      <c r="A1604" s="4" t="s">
        <v>368</v>
      </c>
      <c r="B1604" s="4" t="s">
        <v>906</v>
      </c>
      <c r="C1604" s="4" t="str">
        <f ca="1">IFERROR(__xludf.DUMMYFUNCTION("ARRAY_CONSTRAIN(ARRAYFORMULA(SINGLE(TEXTJOIN(""_"",TRUE,D1604,G1604))), 1, 1)"),"State Policy Network_2010")</f>
        <v>State Policy Network_2010</v>
      </c>
      <c r="D1604" s="4" t="s">
        <v>46</v>
      </c>
      <c r="E1604" s="4" t="s">
        <v>287</v>
      </c>
      <c r="F1604" s="6">
        <v>72500</v>
      </c>
      <c r="G1604" s="4">
        <v>2010</v>
      </c>
    </row>
    <row r="1605" spans="1:9" ht="15" customHeight="1" x14ac:dyDescent="0.2">
      <c r="A1605" s="4" t="s">
        <v>368</v>
      </c>
      <c r="B1605" s="4" t="s">
        <v>907</v>
      </c>
      <c r="C1605" s="4" t="str">
        <f ca="1">IFERROR(__xludf.DUMMYFUNCTION("ARRAY_CONSTRAIN(ARRAYFORMULA(SINGLE(TEXTJOIN(""_"",TRUE,D1605,G1605))), 1, 1)"),"State Policy Network_2010")</f>
        <v>State Policy Network_2010</v>
      </c>
      <c r="D1605" s="4" t="s">
        <v>46</v>
      </c>
      <c r="E1605" s="4" t="s">
        <v>291</v>
      </c>
      <c r="F1605" s="6">
        <v>54000</v>
      </c>
      <c r="G1605" s="4">
        <v>2010</v>
      </c>
    </row>
    <row r="1606" spans="1:9" ht="15" customHeight="1" x14ac:dyDescent="0.2">
      <c r="A1606" s="4" t="s">
        <v>368</v>
      </c>
      <c r="B1606" s="4" t="s">
        <v>908</v>
      </c>
      <c r="C1606" s="4" t="str">
        <f ca="1">IFERROR(__xludf.DUMMYFUNCTION("ARRAY_CONSTRAIN(ARRAYFORMULA(SINGLE(TEXTJOIN(""_"",TRUE,D1606,G1606))), 1, 1)"),"State Policy Network_2010")</f>
        <v>State Policy Network_2010</v>
      </c>
      <c r="D1606" s="4" t="s">
        <v>46</v>
      </c>
      <c r="E1606" s="4" t="s">
        <v>303</v>
      </c>
      <c r="F1606" s="6">
        <v>25000</v>
      </c>
      <c r="G1606" s="4">
        <v>2010</v>
      </c>
    </row>
    <row r="1607" spans="1:9" ht="15" customHeight="1" x14ac:dyDescent="0.2">
      <c r="A1607" s="4" t="s">
        <v>368</v>
      </c>
      <c r="B1607" s="4" t="s">
        <v>909</v>
      </c>
      <c r="C1607" s="4" t="str">
        <f ca="1">IFERROR(__xludf.DUMMYFUNCTION("ARRAY_CONSTRAIN(ARRAYFORMULA(SINGLE(TEXTJOIN(""_"",TRUE,D1607,G1607))), 1, 1)"),"State Policy Network_2010")</f>
        <v>State Policy Network_2010</v>
      </c>
      <c r="D1607" s="4" t="s">
        <v>46</v>
      </c>
      <c r="E1607" s="4" t="s">
        <v>305</v>
      </c>
      <c r="F1607" s="6">
        <v>31000</v>
      </c>
      <c r="G1607" s="4">
        <v>2010</v>
      </c>
    </row>
    <row r="1608" spans="1:9" ht="15" customHeight="1" x14ac:dyDescent="0.2">
      <c r="A1608" s="4" t="s">
        <v>368</v>
      </c>
      <c r="B1608" s="4" t="s">
        <v>910</v>
      </c>
      <c r="C1608" s="4" t="str">
        <f ca="1">IFERROR(__xludf.DUMMYFUNCTION("ARRAY_CONSTRAIN(ARRAYFORMULA(SINGLE(TEXTJOIN(""_"",TRUE,D1608,G1608))), 1, 1)"),"State Policy Network_2010")</f>
        <v>State Policy Network_2010</v>
      </c>
      <c r="D1608" s="4" t="s">
        <v>46</v>
      </c>
      <c r="E1608" s="4" t="s">
        <v>308</v>
      </c>
      <c r="F1608" s="6">
        <v>30000</v>
      </c>
      <c r="G1608" s="4">
        <v>2010</v>
      </c>
    </row>
    <row r="1609" spans="1:9" ht="15" customHeight="1" x14ac:dyDescent="0.2">
      <c r="A1609" s="4" t="s">
        <v>368</v>
      </c>
      <c r="B1609" s="4" t="s">
        <v>911</v>
      </c>
      <c r="C1609" s="4" t="str">
        <f ca="1">IFERROR(__xludf.DUMMYFUNCTION("ARRAY_CONSTRAIN(ARRAYFORMULA(SINGLE(TEXTJOIN(""_"",TRUE,D1609,G1609))), 1, 1)"),"State Policy Network_2010")</f>
        <v>State Policy Network_2010</v>
      </c>
      <c r="D1609" s="4" t="s">
        <v>46</v>
      </c>
      <c r="E1609" s="4" t="s">
        <v>310</v>
      </c>
      <c r="F1609" s="6">
        <v>38000</v>
      </c>
      <c r="G1609" s="4">
        <v>2010</v>
      </c>
    </row>
    <row r="1610" spans="1:9" ht="15" customHeight="1" x14ac:dyDescent="0.2">
      <c r="A1610" s="4" t="s">
        <v>368</v>
      </c>
      <c r="B1610" s="4" t="s">
        <v>912</v>
      </c>
      <c r="C1610" s="4" t="str">
        <f ca="1">IFERROR(__xludf.DUMMYFUNCTION("ARRAY_CONSTRAIN(ARRAYFORMULA(SINGLE(TEXTJOIN(""_"",TRUE,D1610,G1610))), 1, 1)"),"State Policy Network_2010")</f>
        <v>State Policy Network_2010</v>
      </c>
      <c r="D1610" s="4" t="s">
        <v>46</v>
      </c>
      <c r="E1610" s="4" t="s">
        <v>312</v>
      </c>
      <c r="F1610" s="6">
        <v>35500</v>
      </c>
      <c r="G1610" s="4">
        <v>2010</v>
      </c>
    </row>
    <row r="1611" spans="1:9" ht="15" customHeight="1" x14ac:dyDescent="0.2">
      <c r="A1611" s="4" t="s">
        <v>368</v>
      </c>
      <c r="B1611" s="4" t="s">
        <v>913</v>
      </c>
      <c r="C1611" s="4" t="str">
        <f ca="1">IFERROR(__xludf.DUMMYFUNCTION("ARRAY_CONSTRAIN(ARRAYFORMULA(SINGLE(TEXTJOIN(""_"",TRUE,D1611,G1611))), 1, 1)"),"State Policy Network_2010")</f>
        <v>State Policy Network_2010</v>
      </c>
      <c r="D1611" s="4" t="s">
        <v>46</v>
      </c>
      <c r="E1611" s="4" t="s">
        <v>316</v>
      </c>
      <c r="F1611" s="6">
        <v>10000</v>
      </c>
      <c r="G1611" s="4">
        <v>2010</v>
      </c>
    </row>
    <row r="1612" spans="1:9" ht="15" customHeight="1" x14ac:dyDescent="0.2">
      <c r="A1612" s="4" t="s">
        <v>368</v>
      </c>
      <c r="B1612" s="4" t="s">
        <v>914</v>
      </c>
      <c r="C1612" s="4" t="str">
        <f ca="1">IFERROR(__xludf.DUMMYFUNCTION("ARRAY_CONSTRAIN(ARRAYFORMULA(SINGLE(TEXTJOIN(""_"",TRUE,D1612,G1612))), 1, 1)"),"State Policy Network_2010")</f>
        <v>State Policy Network_2010</v>
      </c>
      <c r="D1612" s="4" t="s">
        <v>46</v>
      </c>
      <c r="E1612" s="4" t="s">
        <v>323</v>
      </c>
      <c r="F1612" s="6">
        <v>8000</v>
      </c>
      <c r="G1612" s="4">
        <v>2010</v>
      </c>
    </row>
    <row r="1613" spans="1:9" ht="15" customHeight="1" x14ac:dyDescent="0.2">
      <c r="A1613" s="4" t="s">
        <v>368</v>
      </c>
      <c r="B1613" s="4" t="s">
        <v>915</v>
      </c>
      <c r="C1613" s="4" t="str">
        <f ca="1">IFERROR(__xludf.DUMMYFUNCTION("ARRAY_CONSTRAIN(ARRAYFORMULA(SINGLE(TEXTJOIN(""_"",TRUE,D1613,G1613))), 1, 1)"),"State Policy Network_2010")</f>
        <v>State Policy Network_2010</v>
      </c>
      <c r="D1613" s="4" t="s">
        <v>46</v>
      </c>
      <c r="E1613" s="4" t="s">
        <v>333</v>
      </c>
      <c r="F1613" s="6">
        <v>12500</v>
      </c>
      <c r="G1613" s="4">
        <v>2010</v>
      </c>
    </row>
    <row r="1614" spans="1:9" ht="15" customHeight="1" x14ac:dyDescent="0.2">
      <c r="A1614" s="4" t="s">
        <v>368</v>
      </c>
      <c r="B1614" s="4" t="s">
        <v>916</v>
      </c>
      <c r="C1614" s="4" t="str">
        <f ca="1">IFERROR(__xludf.DUMMYFUNCTION("ARRAY_CONSTRAIN(ARRAYFORMULA(SINGLE(TEXTJOIN(""_"",TRUE,D1614,G1614))), 1, 1)"),"State Policy Network_2010")</f>
        <v>State Policy Network_2010</v>
      </c>
      <c r="D1614" s="4" t="s">
        <v>46</v>
      </c>
      <c r="E1614" s="4" t="s">
        <v>334</v>
      </c>
      <c r="F1614" s="6">
        <v>31500</v>
      </c>
      <c r="G1614" s="4">
        <v>2010</v>
      </c>
      <c r="I1614" s="4" t="s">
        <v>751</v>
      </c>
    </row>
    <row r="1615" spans="1:9" ht="15" customHeight="1" x14ac:dyDescent="0.2">
      <c r="A1615" s="4" t="s">
        <v>368</v>
      </c>
      <c r="B1615" s="4" t="s">
        <v>917</v>
      </c>
      <c r="C1615" s="4" t="str">
        <f ca="1">IFERROR(__xludf.DUMMYFUNCTION("ARRAY_CONSTRAIN(ARRAYFORMULA(SINGLE(TEXTJOIN(""_"",TRUE,D1615,G1615))), 1, 1)"),"State Policy Network_2010")</f>
        <v>State Policy Network_2010</v>
      </c>
      <c r="D1615" s="4" t="s">
        <v>46</v>
      </c>
      <c r="E1615" s="4" t="s">
        <v>342</v>
      </c>
      <c r="F1615" s="6">
        <v>19500</v>
      </c>
      <c r="G1615" s="4">
        <v>2010</v>
      </c>
    </row>
    <row r="1616" spans="1:9" ht="15" customHeight="1" x14ac:dyDescent="0.2">
      <c r="A1616" s="4" t="s">
        <v>368</v>
      </c>
      <c r="B1616" s="4" t="s">
        <v>918</v>
      </c>
      <c r="C1616" s="4" t="str">
        <f ca="1">IFERROR(__xludf.DUMMYFUNCTION("ARRAY_CONSTRAIN(ARRAYFORMULA(SINGLE(TEXTJOIN(""_"",TRUE,D1616,G1616))), 1, 1)"),"State Policy Network_2010")</f>
        <v>State Policy Network_2010</v>
      </c>
      <c r="D1616" s="4" t="s">
        <v>46</v>
      </c>
      <c r="E1616" s="4" t="s">
        <v>348</v>
      </c>
      <c r="F1616" s="6">
        <v>42750</v>
      </c>
      <c r="G1616" s="4">
        <v>2010</v>
      </c>
    </row>
    <row r="1617" spans="1:7" ht="15" customHeight="1" x14ac:dyDescent="0.2">
      <c r="A1617" s="4" t="s">
        <v>368</v>
      </c>
      <c r="B1617" s="4" t="s">
        <v>919</v>
      </c>
      <c r="C1617" s="4" t="str">
        <f ca="1">IFERROR(__xludf.DUMMYFUNCTION("ARRAY_CONSTRAIN(ARRAYFORMULA(SINGLE(TEXTJOIN(""_"",TRUE,D1617,G1617))), 1, 1)"),"State Policy Network_2009")</f>
        <v>State Policy Network_2009</v>
      </c>
      <c r="D1617" s="4" t="s">
        <v>46</v>
      </c>
      <c r="E1617" s="4" t="s">
        <v>235</v>
      </c>
      <c r="F1617" s="6">
        <v>30000</v>
      </c>
      <c r="G1617" s="4">
        <v>2009</v>
      </c>
    </row>
    <row r="1618" spans="1:7" ht="15" customHeight="1" x14ac:dyDescent="0.2">
      <c r="A1618" s="4" t="s">
        <v>368</v>
      </c>
      <c r="B1618" s="4" t="s">
        <v>920</v>
      </c>
      <c r="C1618" s="4" t="str">
        <f ca="1">IFERROR(__xludf.DUMMYFUNCTION("ARRAY_CONSTRAIN(ARRAYFORMULA(SINGLE(TEXTJOIN(""_"",TRUE,D1618,G1618))), 1, 1)"),"State Policy Network_2009")</f>
        <v>State Policy Network_2009</v>
      </c>
      <c r="D1618" s="4" t="s">
        <v>46</v>
      </c>
      <c r="E1618" s="4" t="s">
        <v>243</v>
      </c>
      <c r="F1618" s="6">
        <v>6100</v>
      </c>
      <c r="G1618" s="4">
        <v>2009</v>
      </c>
    </row>
    <row r="1619" spans="1:7" ht="15" customHeight="1" x14ac:dyDescent="0.2">
      <c r="A1619" s="4" t="s">
        <v>368</v>
      </c>
      <c r="B1619" s="4" t="s">
        <v>921</v>
      </c>
      <c r="C1619" s="4" t="str">
        <f ca="1">IFERROR(__xludf.DUMMYFUNCTION("ARRAY_CONSTRAIN(ARRAYFORMULA(SINGLE(TEXTJOIN(""_"",TRUE,D1619,G1619))), 1, 1)"),"State Policy Network_2009")</f>
        <v>State Policy Network_2009</v>
      </c>
      <c r="D1619" s="4" t="s">
        <v>46</v>
      </c>
      <c r="E1619" s="4" t="s">
        <v>256</v>
      </c>
      <c r="F1619" s="6">
        <v>30000</v>
      </c>
      <c r="G1619" s="4">
        <v>2009</v>
      </c>
    </row>
    <row r="1620" spans="1:7" ht="15" customHeight="1" x14ac:dyDescent="0.2">
      <c r="A1620" s="4" t="s">
        <v>368</v>
      </c>
      <c r="B1620" s="4" t="s">
        <v>922</v>
      </c>
      <c r="C1620" s="4" t="str">
        <f ca="1">IFERROR(__xludf.DUMMYFUNCTION("ARRAY_CONSTRAIN(ARRAYFORMULA(SINGLE(TEXTJOIN(""_"",TRUE,D1620,G1620))), 1, 1)"),"State Policy Network_2009")</f>
        <v>State Policy Network_2009</v>
      </c>
      <c r="D1620" s="4" t="s">
        <v>46</v>
      </c>
      <c r="E1620" s="4" t="s">
        <v>261</v>
      </c>
      <c r="F1620" s="6">
        <v>50000</v>
      </c>
      <c r="G1620" s="4">
        <v>2009</v>
      </c>
    </row>
    <row r="1621" spans="1:7" ht="15" customHeight="1" x14ac:dyDescent="0.2">
      <c r="A1621" s="4" t="s">
        <v>368</v>
      </c>
      <c r="B1621" s="4" t="s">
        <v>923</v>
      </c>
      <c r="C1621" s="4" t="str">
        <f ca="1">IFERROR(__xludf.DUMMYFUNCTION("ARRAY_CONSTRAIN(ARRAYFORMULA(SINGLE(TEXTJOIN(""_"",TRUE,D1621,G1621))), 1, 1)"),"State Policy Network_2009")</f>
        <v>State Policy Network_2009</v>
      </c>
      <c r="D1621" s="4" t="s">
        <v>46</v>
      </c>
      <c r="E1621" s="4" t="s">
        <v>264</v>
      </c>
      <c r="F1621" s="6">
        <v>30000</v>
      </c>
      <c r="G1621" s="4">
        <v>2009</v>
      </c>
    </row>
    <row r="1622" spans="1:7" ht="15" customHeight="1" x14ac:dyDescent="0.2">
      <c r="A1622" s="4" t="s">
        <v>368</v>
      </c>
      <c r="B1622" s="4" t="s">
        <v>924</v>
      </c>
      <c r="C1622" s="4" t="str">
        <f ca="1">IFERROR(__xludf.DUMMYFUNCTION("ARRAY_CONSTRAIN(ARRAYFORMULA(SINGLE(TEXTJOIN(""_"",TRUE,D1622,G1622))), 1, 1)"),"State Policy Network_2009")</f>
        <v>State Policy Network_2009</v>
      </c>
      <c r="D1622" s="4" t="s">
        <v>46</v>
      </c>
      <c r="E1622" s="4" t="s">
        <v>267</v>
      </c>
      <c r="F1622" s="6">
        <v>20000</v>
      </c>
      <c r="G1622" s="4">
        <v>2009</v>
      </c>
    </row>
    <row r="1623" spans="1:7" ht="15" customHeight="1" x14ac:dyDescent="0.2">
      <c r="A1623" s="4" t="s">
        <v>368</v>
      </c>
      <c r="B1623" s="4" t="s">
        <v>925</v>
      </c>
      <c r="C1623" s="4" t="str">
        <f ca="1">IFERROR(__xludf.DUMMYFUNCTION("ARRAY_CONSTRAIN(ARRAYFORMULA(SINGLE(TEXTJOIN(""_"",TRUE,D1623,G1623))), 1, 1)"),"State Policy Network_2009")</f>
        <v>State Policy Network_2009</v>
      </c>
      <c r="D1623" s="4" t="s">
        <v>46</v>
      </c>
      <c r="E1623" s="4" t="s">
        <v>285</v>
      </c>
      <c r="F1623" s="6">
        <v>110000</v>
      </c>
      <c r="G1623" s="4">
        <v>2009</v>
      </c>
    </row>
    <row r="1624" spans="1:7" ht="15" customHeight="1" x14ac:dyDescent="0.2">
      <c r="A1624" s="4" t="s">
        <v>368</v>
      </c>
      <c r="B1624" s="4" t="s">
        <v>926</v>
      </c>
      <c r="C1624" s="4" t="str">
        <f ca="1">IFERROR(__xludf.DUMMYFUNCTION("ARRAY_CONSTRAIN(ARRAYFORMULA(SINGLE(TEXTJOIN(""_"",TRUE,D1624,G1624))), 1, 1)"),"State Policy Network_2009")</f>
        <v>State Policy Network_2009</v>
      </c>
      <c r="D1624" s="4" t="s">
        <v>46</v>
      </c>
      <c r="E1624" s="4" t="s">
        <v>285</v>
      </c>
      <c r="F1624" s="6">
        <v>135000</v>
      </c>
      <c r="G1624" s="4">
        <v>2009</v>
      </c>
    </row>
    <row r="1625" spans="1:7" ht="15" customHeight="1" x14ac:dyDescent="0.2">
      <c r="A1625" s="4" t="s">
        <v>368</v>
      </c>
      <c r="B1625" s="4" t="s">
        <v>927</v>
      </c>
      <c r="C1625" s="4" t="str">
        <f ca="1">IFERROR(__xludf.DUMMYFUNCTION("ARRAY_CONSTRAIN(ARRAYFORMULA(SINGLE(TEXTJOIN(""_"",TRUE,D1625,G1625))), 1, 1)"),"State Policy Network_2009")</f>
        <v>State Policy Network_2009</v>
      </c>
      <c r="D1625" s="4" t="s">
        <v>46</v>
      </c>
      <c r="E1625" s="4" t="s">
        <v>286</v>
      </c>
      <c r="F1625" s="6">
        <v>30000</v>
      </c>
      <c r="G1625" s="4">
        <v>2009</v>
      </c>
    </row>
    <row r="1626" spans="1:7" ht="15" customHeight="1" x14ac:dyDescent="0.2">
      <c r="A1626" s="4" t="s">
        <v>368</v>
      </c>
      <c r="B1626" s="4" t="s">
        <v>928</v>
      </c>
      <c r="C1626" s="4" t="str">
        <f ca="1">IFERROR(__xludf.DUMMYFUNCTION("ARRAY_CONSTRAIN(ARRAYFORMULA(SINGLE(TEXTJOIN(""_"",TRUE,D1626,G1626))), 1, 1)"),"State Policy Network_2009")</f>
        <v>State Policy Network_2009</v>
      </c>
      <c r="D1626" s="4" t="s">
        <v>46</v>
      </c>
      <c r="E1626" s="4" t="s">
        <v>294</v>
      </c>
      <c r="F1626" s="6">
        <v>26000</v>
      </c>
      <c r="G1626" s="4">
        <v>2009</v>
      </c>
    </row>
    <row r="1627" spans="1:7" ht="15" customHeight="1" x14ac:dyDescent="0.2">
      <c r="A1627" s="4" t="s">
        <v>368</v>
      </c>
      <c r="B1627" s="4" t="s">
        <v>929</v>
      </c>
      <c r="C1627" s="4" t="str">
        <f ca="1">IFERROR(__xludf.DUMMYFUNCTION("ARRAY_CONSTRAIN(ARRAYFORMULA(SINGLE(TEXTJOIN(""_"",TRUE,D1627,G1627))), 1, 1)"),"State Policy Network_2009")</f>
        <v>State Policy Network_2009</v>
      </c>
      <c r="D1627" s="4" t="s">
        <v>46</v>
      </c>
      <c r="E1627" s="4" t="s">
        <v>299</v>
      </c>
      <c r="F1627" s="6">
        <v>50000</v>
      </c>
      <c r="G1627" s="4">
        <v>2009</v>
      </c>
    </row>
    <row r="1628" spans="1:7" ht="15" customHeight="1" x14ac:dyDescent="0.2">
      <c r="A1628" s="4" t="s">
        <v>368</v>
      </c>
      <c r="B1628" s="4" t="s">
        <v>930</v>
      </c>
      <c r="C1628" s="4" t="str">
        <f ca="1">IFERROR(__xludf.DUMMYFUNCTION("ARRAY_CONSTRAIN(ARRAYFORMULA(SINGLE(TEXTJOIN(""_"",TRUE,D1628,G1628))), 1, 1)"),"State Policy Network_2009")</f>
        <v>State Policy Network_2009</v>
      </c>
      <c r="D1628" s="4" t="s">
        <v>46</v>
      </c>
      <c r="E1628" s="4" t="s">
        <v>305</v>
      </c>
      <c r="F1628" s="6">
        <v>30000</v>
      </c>
      <c r="G1628" s="4">
        <v>2009</v>
      </c>
    </row>
    <row r="1629" spans="1:7" ht="15" customHeight="1" x14ac:dyDescent="0.2">
      <c r="A1629" s="4" t="s">
        <v>368</v>
      </c>
      <c r="B1629" s="4" t="s">
        <v>931</v>
      </c>
      <c r="C1629" s="4" t="str">
        <f ca="1">IFERROR(__xludf.DUMMYFUNCTION("ARRAY_CONSTRAIN(ARRAYFORMULA(SINGLE(TEXTJOIN(""_"",TRUE,D1629,G1629))), 1, 1)"),"State Policy Network_2009")</f>
        <v>State Policy Network_2009</v>
      </c>
      <c r="D1629" s="4" t="s">
        <v>46</v>
      </c>
      <c r="E1629" s="4" t="s">
        <v>305</v>
      </c>
      <c r="F1629" s="6">
        <v>5000</v>
      </c>
      <c r="G1629" s="4">
        <v>2009</v>
      </c>
    </row>
    <row r="1630" spans="1:7" ht="15" customHeight="1" x14ac:dyDescent="0.2">
      <c r="A1630" s="4" t="s">
        <v>368</v>
      </c>
      <c r="B1630" s="4" t="s">
        <v>932</v>
      </c>
      <c r="C1630" s="4" t="str">
        <f ca="1">IFERROR(__xludf.DUMMYFUNCTION("ARRAY_CONSTRAIN(ARRAYFORMULA(SINGLE(TEXTJOIN(""_"",TRUE,D1630,G1630))), 1, 1)"),"State Policy Network_2009")</f>
        <v>State Policy Network_2009</v>
      </c>
      <c r="D1630" s="4" t="s">
        <v>46</v>
      </c>
      <c r="E1630" s="4" t="s">
        <v>305</v>
      </c>
      <c r="F1630" s="6">
        <v>50000</v>
      </c>
      <c r="G1630" s="4">
        <v>2009</v>
      </c>
    </row>
    <row r="1631" spans="1:7" ht="15" customHeight="1" x14ac:dyDescent="0.2">
      <c r="A1631" s="4" t="s">
        <v>368</v>
      </c>
      <c r="B1631" s="4" t="s">
        <v>933</v>
      </c>
      <c r="C1631" s="4" t="str">
        <f ca="1">IFERROR(__xludf.DUMMYFUNCTION("ARRAY_CONSTRAIN(ARRAYFORMULA(SINGLE(TEXTJOIN(""_"",TRUE,D1631,G1631))), 1, 1)"),"State Policy Network_2009")</f>
        <v>State Policy Network_2009</v>
      </c>
      <c r="D1631" s="4" t="s">
        <v>46</v>
      </c>
      <c r="E1631" s="4" t="s">
        <v>308</v>
      </c>
      <c r="F1631" s="6">
        <v>30000</v>
      </c>
      <c r="G1631" s="4">
        <v>2009</v>
      </c>
    </row>
    <row r="1632" spans="1:7" ht="15" customHeight="1" x14ac:dyDescent="0.2">
      <c r="A1632" s="4" t="s">
        <v>368</v>
      </c>
      <c r="B1632" s="4" t="s">
        <v>934</v>
      </c>
      <c r="C1632" s="4" t="str">
        <f ca="1">IFERROR(__xludf.DUMMYFUNCTION("ARRAY_CONSTRAIN(ARRAYFORMULA(SINGLE(TEXTJOIN(""_"",TRUE,D1632,G1632))), 1, 1)"),"State Policy Network_2009")</f>
        <v>State Policy Network_2009</v>
      </c>
      <c r="D1632" s="4" t="s">
        <v>46</v>
      </c>
      <c r="E1632" s="4" t="s">
        <v>316</v>
      </c>
      <c r="F1632" s="6">
        <v>100000</v>
      </c>
      <c r="G1632" s="4">
        <v>2009</v>
      </c>
    </row>
    <row r="1633" spans="1:9" ht="15" customHeight="1" x14ac:dyDescent="0.2">
      <c r="A1633" s="4" t="s">
        <v>368</v>
      </c>
      <c r="B1633" s="4" t="s">
        <v>935</v>
      </c>
      <c r="C1633" s="4" t="str">
        <f ca="1">IFERROR(__xludf.DUMMYFUNCTION("ARRAY_CONSTRAIN(ARRAYFORMULA(SINGLE(TEXTJOIN(""_"",TRUE,D1633,G1633))), 1, 1)"),"State Policy Network_2009")</f>
        <v>State Policy Network_2009</v>
      </c>
      <c r="D1633" s="4" t="s">
        <v>46</v>
      </c>
      <c r="E1633" s="4" t="s">
        <v>316</v>
      </c>
      <c r="F1633" s="6">
        <v>25000</v>
      </c>
      <c r="G1633" s="4">
        <v>2009</v>
      </c>
    </row>
    <row r="1634" spans="1:9" ht="15" customHeight="1" x14ac:dyDescent="0.2">
      <c r="A1634" s="4" t="s">
        <v>368</v>
      </c>
      <c r="B1634" s="4" t="s">
        <v>936</v>
      </c>
      <c r="C1634" s="4" t="str">
        <f ca="1">IFERROR(__xludf.DUMMYFUNCTION("ARRAY_CONSTRAIN(ARRAYFORMULA(SINGLE(TEXTJOIN(""_"",TRUE,D1634,G1634))), 1, 1)"),"State Policy Network_2009")</f>
        <v>State Policy Network_2009</v>
      </c>
      <c r="D1634" s="4" t="s">
        <v>46</v>
      </c>
      <c r="E1634" s="4" t="s">
        <v>331</v>
      </c>
      <c r="F1634" s="6">
        <v>30000</v>
      </c>
      <c r="G1634" s="4">
        <v>2009</v>
      </c>
    </row>
    <row r="1635" spans="1:9" ht="15" customHeight="1" x14ac:dyDescent="0.2">
      <c r="A1635" s="4" t="s">
        <v>368</v>
      </c>
      <c r="B1635" s="4" t="s">
        <v>937</v>
      </c>
      <c r="C1635" s="4" t="str">
        <f ca="1">IFERROR(__xludf.DUMMYFUNCTION("ARRAY_CONSTRAIN(ARRAYFORMULA(SINGLE(TEXTJOIN(""_"",TRUE,D1635,G1635))), 1, 1)"),"State Policy Network_2009")</f>
        <v>State Policy Network_2009</v>
      </c>
      <c r="D1635" s="4" t="s">
        <v>46</v>
      </c>
      <c r="E1635" s="4" t="s">
        <v>334</v>
      </c>
      <c r="F1635" s="6">
        <v>50000</v>
      </c>
      <c r="G1635" s="4">
        <v>2009</v>
      </c>
      <c r="I1635" s="4" t="s">
        <v>751</v>
      </c>
    </row>
    <row r="1636" spans="1:9" ht="15" customHeight="1" x14ac:dyDescent="0.2">
      <c r="A1636" s="4" t="s">
        <v>368</v>
      </c>
      <c r="B1636" s="4" t="s">
        <v>938</v>
      </c>
      <c r="C1636" s="4" t="str">
        <f ca="1">IFERROR(__xludf.DUMMYFUNCTION("ARRAY_CONSTRAIN(ARRAYFORMULA(SINGLE(TEXTJOIN(""_"",TRUE,D1636,G1636))), 1, 1)"),"State Policy Network_2009")</f>
        <v>State Policy Network_2009</v>
      </c>
      <c r="D1636" s="4" t="s">
        <v>46</v>
      </c>
      <c r="E1636" s="4" t="s">
        <v>342</v>
      </c>
      <c r="F1636" s="6">
        <v>30000</v>
      </c>
      <c r="G1636" s="4">
        <v>2009</v>
      </c>
    </row>
    <row r="1637" spans="1:9" ht="15" customHeight="1" x14ac:dyDescent="0.2">
      <c r="A1637" s="4" t="s">
        <v>368</v>
      </c>
      <c r="B1637" s="4" t="s">
        <v>939</v>
      </c>
      <c r="C1637" s="4" t="str">
        <f ca="1">IFERROR(__xludf.DUMMYFUNCTION("ARRAY_CONSTRAIN(ARRAYFORMULA(SINGLE(TEXTJOIN(""_"",TRUE,D1637,G1637))), 1, 1)"),"State Policy Network_2009")</f>
        <v>State Policy Network_2009</v>
      </c>
      <c r="D1637" s="4" t="s">
        <v>46</v>
      </c>
      <c r="E1637" s="4" t="s">
        <v>347</v>
      </c>
      <c r="F1637" s="6">
        <v>30000</v>
      </c>
      <c r="G1637" s="4">
        <v>2009</v>
      </c>
    </row>
    <row r="1638" spans="1:9" ht="15" customHeight="1" x14ac:dyDescent="0.2">
      <c r="A1638" s="4" t="s">
        <v>368</v>
      </c>
      <c r="B1638" s="4" t="s">
        <v>940</v>
      </c>
      <c r="C1638" s="4" t="str">
        <f ca="1">IFERROR(__xludf.DUMMYFUNCTION("ARRAY_CONSTRAIN(ARRAYFORMULA(SINGLE(TEXTJOIN(""_"",TRUE,D1638,G1638))), 1, 1)"),"State Policy Network_2009")</f>
        <v>State Policy Network_2009</v>
      </c>
      <c r="D1638" s="4" t="s">
        <v>46</v>
      </c>
      <c r="E1638" s="4" t="s">
        <v>348</v>
      </c>
      <c r="F1638" s="6">
        <v>5000</v>
      </c>
      <c r="G1638" s="4">
        <v>2009</v>
      </c>
    </row>
    <row r="1639" spans="1:9" ht="15" customHeight="1" x14ac:dyDescent="0.2">
      <c r="A1639" s="4" t="s">
        <v>368</v>
      </c>
      <c r="B1639" s="4" t="s">
        <v>941</v>
      </c>
      <c r="C1639" s="4" t="str">
        <f ca="1">IFERROR(__xludf.DUMMYFUNCTION("ARRAY_CONSTRAIN(ARRAYFORMULA(SINGLE(TEXTJOIN(""_"",TRUE,D1639,G1639))), 1, 1)"),"State Policy Network_2009")</f>
        <v>State Policy Network_2009</v>
      </c>
      <c r="D1639" s="4" t="s">
        <v>46</v>
      </c>
      <c r="E1639" s="4" t="s">
        <v>352</v>
      </c>
      <c r="F1639" s="6">
        <v>25000</v>
      </c>
      <c r="G1639" s="4">
        <v>2009</v>
      </c>
    </row>
    <row r="1640" spans="1:9" ht="15" customHeight="1" x14ac:dyDescent="0.2">
      <c r="A1640" s="4" t="s">
        <v>368</v>
      </c>
      <c r="B1640" s="4" t="s">
        <v>942</v>
      </c>
      <c r="C1640" s="4" t="str">
        <f ca="1">IFERROR(__xludf.DUMMYFUNCTION("ARRAY_CONSTRAIN(ARRAYFORMULA(SINGLE(TEXTJOIN(""_"",TRUE,D1640,G1640))), 1, 1)"),"State Policy Network_2009")</f>
        <v>State Policy Network_2009</v>
      </c>
      <c r="D1640" s="4" t="s">
        <v>46</v>
      </c>
      <c r="E1640" s="4" t="s">
        <v>352</v>
      </c>
      <c r="F1640" s="6">
        <v>65000</v>
      </c>
      <c r="G1640" s="4">
        <v>2009</v>
      </c>
    </row>
    <row r="1641" spans="1:9" ht="15" customHeight="1" x14ac:dyDescent="0.2">
      <c r="A1641" s="4" t="s">
        <v>368</v>
      </c>
      <c r="B1641" s="4" t="s">
        <v>943</v>
      </c>
      <c r="C1641" s="4" t="str">
        <f ca="1">IFERROR(__xludf.DUMMYFUNCTION("ARRAY_CONSTRAIN(ARRAYFORMULA(SINGLE(TEXTJOIN(""_"",TRUE,D1641,G1641))), 1, 1)"),"State Policy Network_2008")</f>
        <v>State Policy Network_2008</v>
      </c>
      <c r="D1641" s="4" t="s">
        <v>46</v>
      </c>
      <c r="E1641" s="4" t="s">
        <v>250</v>
      </c>
      <c r="F1641" s="6">
        <v>29250</v>
      </c>
      <c r="G1641" s="4">
        <v>2008</v>
      </c>
    </row>
    <row r="1642" spans="1:9" ht="15" customHeight="1" x14ac:dyDescent="0.2">
      <c r="A1642" s="4" t="s">
        <v>368</v>
      </c>
      <c r="B1642" s="4" t="s">
        <v>944</v>
      </c>
      <c r="C1642" s="4" t="str">
        <f ca="1">IFERROR(__xludf.DUMMYFUNCTION("ARRAY_CONSTRAIN(ARRAYFORMULA(SINGLE(TEXTJOIN(""_"",TRUE,D1642,G1642))), 1, 1)"),"State Policy Network_2008")</f>
        <v>State Policy Network_2008</v>
      </c>
      <c r="D1642" s="4" t="s">
        <v>46</v>
      </c>
      <c r="E1642" s="4" t="s">
        <v>253</v>
      </c>
      <c r="F1642" s="6">
        <v>40000</v>
      </c>
      <c r="G1642" s="4">
        <v>2008</v>
      </c>
    </row>
    <row r="1643" spans="1:9" ht="15" customHeight="1" x14ac:dyDescent="0.2">
      <c r="A1643" s="4" t="s">
        <v>368</v>
      </c>
      <c r="B1643" s="4" t="s">
        <v>945</v>
      </c>
      <c r="C1643" s="4" t="str">
        <f ca="1">IFERROR(__xludf.DUMMYFUNCTION("ARRAY_CONSTRAIN(ARRAYFORMULA(SINGLE(TEXTJOIN(""_"",TRUE,D1643,G1643))), 1, 1)"),"State Policy Network_2008")</f>
        <v>State Policy Network_2008</v>
      </c>
      <c r="D1643" s="4" t="s">
        <v>46</v>
      </c>
      <c r="E1643" s="4" t="s">
        <v>946</v>
      </c>
      <c r="F1643" s="6">
        <v>180000</v>
      </c>
      <c r="G1643" s="4">
        <v>2008</v>
      </c>
    </row>
    <row r="1644" spans="1:9" ht="15" customHeight="1" x14ac:dyDescent="0.2">
      <c r="A1644" s="4" t="s">
        <v>368</v>
      </c>
      <c r="B1644" s="4" t="s">
        <v>947</v>
      </c>
      <c r="C1644" s="4" t="str">
        <f ca="1">IFERROR(__xludf.DUMMYFUNCTION("ARRAY_CONSTRAIN(ARRAYFORMULA(SINGLE(TEXTJOIN(""_"",TRUE,D1644,G1644))), 1, 1)"),"State Policy Network_2008")</f>
        <v>State Policy Network_2008</v>
      </c>
      <c r="D1644" s="4" t="s">
        <v>46</v>
      </c>
      <c r="E1644" s="4" t="s">
        <v>263</v>
      </c>
      <c r="F1644" s="6">
        <v>81791</v>
      </c>
      <c r="G1644" s="4">
        <v>2008</v>
      </c>
    </row>
    <row r="1645" spans="1:9" ht="15" customHeight="1" x14ac:dyDescent="0.2">
      <c r="A1645" s="4" t="s">
        <v>368</v>
      </c>
      <c r="B1645" s="4" t="s">
        <v>948</v>
      </c>
      <c r="C1645" s="4" t="str">
        <f ca="1">IFERROR(__xludf.DUMMYFUNCTION("ARRAY_CONSTRAIN(ARRAYFORMULA(SINGLE(TEXTJOIN(""_"",TRUE,D1645,G1645))), 1, 1)"),"State Policy Network_2008")</f>
        <v>State Policy Network_2008</v>
      </c>
      <c r="D1645" s="4" t="s">
        <v>46</v>
      </c>
      <c r="E1645" s="4" t="s">
        <v>268</v>
      </c>
      <c r="F1645" s="6">
        <v>36750</v>
      </c>
      <c r="G1645" s="4">
        <v>2008</v>
      </c>
    </row>
    <row r="1646" spans="1:9" ht="15" customHeight="1" x14ac:dyDescent="0.2">
      <c r="A1646" s="4" t="s">
        <v>368</v>
      </c>
      <c r="B1646" s="4" t="s">
        <v>949</v>
      </c>
      <c r="C1646" s="4" t="str">
        <f ca="1">IFERROR(__xludf.DUMMYFUNCTION("ARRAY_CONSTRAIN(ARRAYFORMULA(SINGLE(TEXTJOIN(""_"",TRUE,D1646,G1646))), 1, 1)"),"State Policy Network_2008")</f>
        <v>State Policy Network_2008</v>
      </c>
      <c r="D1646" s="4" t="s">
        <v>46</v>
      </c>
      <c r="E1646" s="4" t="s">
        <v>278</v>
      </c>
      <c r="F1646" s="6">
        <v>30000</v>
      </c>
      <c r="G1646" s="4">
        <v>2008</v>
      </c>
    </row>
    <row r="1647" spans="1:9" ht="15" customHeight="1" x14ac:dyDescent="0.2">
      <c r="A1647" s="4" t="s">
        <v>368</v>
      </c>
      <c r="B1647" s="4" t="s">
        <v>950</v>
      </c>
      <c r="C1647" s="4" t="str">
        <f ca="1">IFERROR(__xludf.DUMMYFUNCTION("ARRAY_CONSTRAIN(ARRAYFORMULA(SINGLE(TEXTJOIN(""_"",TRUE,D1647,G1647))), 1, 1)"),"State Policy Network_2008")</f>
        <v>State Policy Network_2008</v>
      </c>
      <c r="D1647" s="4" t="s">
        <v>46</v>
      </c>
      <c r="E1647" s="4" t="s">
        <v>285</v>
      </c>
      <c r="F1647" s="6">
        <v>15000</v>
      </c>
      <c r="G1647" s="4">
        <v>2008</v>
      </c>
    </row>
    <row r="1648" spans="1:9" ht="15" customHeight="1" x14ac:dyDescent="0.2">
      <c r="A1648" s="4" t="s">
        <v>368</v>
      </c>
      <c r="B1648" s="4" t="s">
        <v>951</v>
      </c>
      <c r="C1648" s="4" t="str">
        <f ca="1">IFERROR(__xludf.DUMMYFUNCTION("ARRAY_CONSTRAIN(ARRAYFORMULA(SINGLE(TEXTJOIN(""_"",TRUE,D1648,G1648))), 1, 1)"),"State Policy Network_2008")</f>
        <v>State Policy Network_2008</v>
      </c>
      <c r="D1648" s="4" t="s">
        <v>46</v>
      </c>
      <c r="E1648" s="4" t="s">
        <v>291</v>
      </c>
      <c r="F1648" s="6">
        <v>25000</v>
      </c>
      <c r="G1648" s="4">
        <v>2008</v>
      </c>
    </row>
    <row r="1649" spans="1:7" ht="15" customHeight="1" x14ac:dyDescent="0.2">
      <c r="A1649" s="4" t="s">
        <v>368</v>
      </c>
      <c r="B1649" s="4" t="s">
        <v>952</v>
      </c>
      <c r="C1649" s="4" t="str">
        <f ca="1">IFERROR(__xludf.DUMMYFUNCTION("ARRAY_CONSTRAIN(ARRAYFORMULA(SINGLE(TEXTJOIN(""_"",TRUE,D1649,G1649))), 1, 1)"),"State Policy Network_2008")</f>
        <v>State Policy Network_2008</v>
      </c>
      <c r="D1649" s="4" t="s">
        <v>46</v>
      </c>
      <c r="E1649" s="4" t="s">
        <v>292</v>
      </c>
      <c r="F1649" s="6">
        <v>20000</v>
      </c>
      <c r="G1649" s="4">
        <v>2008</v>
      </c>
    </row>
    <row r="1650" spans="1:7" ht="15" customHeight="1" x14ac:dyDescent="0.2">
      <c r="A1650" s="4" t="s">
        <v>368</v>
      </c>
      <c r="B1650" s="4" t="s">
        <v>953</v>
      </c>
      <c r="C1650" s="4" t="str">
        <f ca="1">IFERROR(__xludf.DUMMYFUNCTION("ARRAY_CONSTRAIN(ARRAYFORMULA(SINGLE(TEXTJOIN(""_"",TRUE,D1650,G1650))), 1, 1)"),"State Policy Network_2008")</f>
        <v>State Policy Network_2008</v>
      </c>
      <c r="D1650" s="4" t="s">
        <v>46</v>
      </c>
      <c r="E1650" s="4" t="s">
        <v>303</v>
      </c>
      <c r="F1650" s="6">
        <v>50000</v>
      </c>
      <c r="G1650" s="4">
        <v>2008</v>
      </c>
    </row>
    <row r="1651" spans="1:7" ht="15" customHeight="1" x14ac:dyDescent="0.2">
      <c r="A1651" s="4" t="s">
        <v>368</v>
      </c>
      <c r="B1651" s="4" t="s">
        <v>954</v>
      </c>
      <c r="C1651" s="4" t="str">
        <f ca="1">IFERROR(__xludf.DUMMYFUNCTION("ARRAY_CONSTRAIN(ARRAYFORMULA(SINGLE(TEXTJOIN(""_"",TRUE,D1651,G1651))), 1, 1)"),"State Policy Network_2008")</f>
        <v>State Policy Network_2008</v>
      </c>
      <c r="D1651" s="4" t="s">
        <v>46</v>
      </c>
      <c r="E1651" s="4" t="s">
        <v>304</v>
      </c>
      <c r="F1651" s="6">
        <v>25000</v>
      </c>
      <c r="G1651" s="4">
        <v>2008</v>
      </c>
    </row>
    <row r="1652" spans="1:7" ht="15" customHeight="1" x14ac:dyDescent="0.2">
      <c r="A1652" s="4" t="s">
        <v>368</v>
      </c>
      <c r="B1652" s="4" t="s">
        <v>955</v>
      </c>
      <c r="C1652" s="4" t="str">
        <f ca="1">IFERROR(__xludf.DUMMYFUNCTION("ARRAY_CONSTRAIN(ARRAYFORMULA(SINGLE(TEXTJOIN(""_"",TRUE,D1652,G1652))), 1, 1)"),"State Policy Network_2008")</f>
        <v>State Policy Network_2008</v>
      </c>
      <c r="D1652" s="4" t="s">
        <v>46</v>
      </c>
      <c r="E1652" s="4" t="s">
        <v>304</v>
      </c>
      <c r="F1652" s="6">
        <v>50000</v>
      </c>
      <c r="G1652" s="4">
        <v>2008</v>
      </c>
    </row>
    <row r="1653" spans="1:7" ht="15" customHeight="1" x14ac:dyDescent="0.2">
      <c r="A1653" s="4" t="s">
        <v>368</v>
      </c>
      <c r="B1653" s="4" t="s">
        <v>956</v>
      </c>
      <c r="C1653" s="4" t="str">
        <f ca="1">IFERROR(__xludf.DUMMYFUNCTION("ARRAY_CONSTRAIN(ARRAYFORMULA(SINGLE(TEXTJOIN(""_"",TRUE,D1653,G1653))), 1, 1)"),"State Policy Network_2008")</f>
        <v>State Policy Network_2008</v>
      </c>
      <c r="D1653" s="4" t="s">
        <v>46</v>
      </c>
      <c r="E1653" s="4" t="s">
        <v>305</v>
      </c>
      <c r="F1653" s="6">
        <v>30000</v>
      </c>
      <c r="G1653" s="4">
        <v>2008</v>
      </c>
    </row>
    <row r="1654" spans="1:7" ht="15" customHeight="1" x14ac:dyDescent="0.2">
      <c r="A1654" s="4" t="s">
        <v>368</v>
      </c>
      <c r="B1654" s="4" t="s">
        <v>957</v>
      </c>
      <c r="C1654" s="4" t="str">
        <f ca="1">IFERROR(__xludf.DUMMYFUNCTION("ARRAY_CONSTRAIN(ARRAYFORMULA(SINGLE(TEXTJOIN(""_"",TRUE,D1654,G1654))), 1, 1)"),"State Policy Network_2008")</f>
        <v>State Policy Network_2008</v>
      </c>
      <c r="D1654" s="4" t="s">
        <v>46</v>
      </c>
      <c r="E1654" s="4" t="s">
        <v>308</v>
      </c>
      <c r="F1654" s="6">
        <v>30000</v>
      </c>
      <c r="G1654" s="4">
        <v>2008</v>
      </c>
    </row>
    <row r="1655" spans="1:7" ht="15" customHeight="1" x14ac:dyDescent="0.2">
      <c r="A1655" s="4" t="s">
        <v>368</v>
      </c>
      <c r="B1655" s="4" t="s">
        <v>958</v>
      </c>
      <c r="C1655" s="4" t="str">
        <f ca="1">IFERROR(__xludf.DUMMYFUNCTION("ARRAY_CONSTRAIN(ARRAYFORMULA(SINGLE(TEXTJOIN(""_"",TRUE,D1655,G1655))), 1, 1)"),"State Policy Network_2008")</f>
        <v>State Policy Network_2008</v>
      </c>
      <c r="D1655" s="4" t="s">
        <v>46</v>
      </c>
      <c r="E1655" s="4" t="s">
        <v>313</v>
      </c>
      <c r="F1655" s="6">
        <v>85000</v>
      </c>
      <c r="G1655" s="4">
        <v>2008</v>
      </c>
    </row>
    <row r="1656" spans="1:7" ht="15" customHeight="1" x14ac:dyDescent="0.2">
      <c r="A1656" s="4" t="s">
        <v>368</v>
      </c>
      <c r="B1656" s="4" t="s">
        <v>959</v>
      </c>
      <c r="C1656" s="4" t="str">
        <f ca="1">IFERROR(__xludf.DUMMYFUNCTION("ARRAY_CONSTRAIN(ARRAYFORMULA(SINGLE(TEXTJOIN(""_"",TRUE,D1656,G1656))), 1, 1)"),"State Policy Network_2008")</f>
        <v>State Policy Network_2008</v>
      </c>
      <c r="D1656" s="4" t="s">
        <v>46</v>
      </c>
      <c r="E1656" s="4" t="s">
        <v>314</v>
      </c>
      <c r="F1656" s="6">
        <v>121250</v>
      </c>
      <c r="G1656" s="4">
        <v>2008</v>
      </c>
    </row>
    <row r="1657" spans="1:7" ht="15" customHeight="1" x14ac:dyDescent="0.2">
      <c r="A1657" s="4" t="s">
        <v>368</v>
      </c>
      <c r="B1657" s="4" t="s">
        <v>960</v>
      </c>
      <c r="C1657" s="4" t="str">
        <f ca="1">IFERROR(__xludf.DUMMYFUNCTION("ARRAY_CONSTRAIN(ARRAYFORMULA(SINGLE(TEXTJOIN(""_"",TRUE,D1657,G1657))), 1, 1)"),"State Policy Network_2008")</f>
        <v>State Policy Network_2008</v>
      </c>
      <c r="D1657" s="4" t="s">
        <v>46</v>
      </c>
      <c r="E1657" s="4" t="s">
        <v>323</v>
      </c>
      <c r="F1657" s="6">
        <v>240000</v>
      </c>
      <c r="G1657" s="4">
        <v>2008</v>
      </c>
    </row>
    <row r="1658" spans="1:7" ht="15" customHeight="1" x14ac:dyDescent="0.2">
      <c r="A1658" s="4" t="s">
        <v>368</v>
      </c>
      <c r="B1658" s="4" t="s">
        <v>961</v>
      </c>
      <c r="C1658" s="4" t="str">
        <f ca="1">IFERROR(__xludf.DUMMYFUNCTION("ARRAY_CONSTRAIN(ARRAYFORMULA(SINGLE(TEXTJOIN(""_"",TRUE,D1658,G1658))), 1, 1)"),"State Policy Network_2008")</f>
        <v>State Policy Network_2008</v>
      </c>
      <c r="D1658" s="4" t="s">
        <v>46</v>
      </c>
      <c r="E1658" s="4" t="s">
        <v>331</v>
      </c>
      <c r="F1658" s="6">
        <v>35000</v>
      </c>
      <c r="G1658" s="4">
        <v>2008</v>
      </c>
    </row>
    <row r="1659" spans="1:7" ht="15" customHeight="1" x14ac:dyDescent="0.2">
      <c r="A1659" s="4" t="s">
        <v>368</v>
      </c>
      <c r="B1659" s="4" t="s">
        <v>962</v>
      </c>
      <c r="C1659" s="4" t="str">
        <f ca="1">IFERROR(__xludf.DUMMYFUNCTION("ARRAY_CONSTRAIN(ARRAYFORMULA(SINGLE(TEXTJOIN(""_"",TRUE,D1659,G1659))), 1, 1)"),"State Policy Network_2008")</f>
        <v>State Policy Network_2008</v>
      </c>
      <c r="D1659" s="4" t="s">
        <v>46</v>
      </c>
      <c r="E1659" s="4" t="s">
        <v>342</v>
      </c>
      <c r="F1659" s="6">
        <v>25000</v>
      </c>
      <c r="G1659" s="4">
        <v>2008</v>
      </c>
    </row>
    <row r="1660" spans="1:7" ht="15" customHeight="1" x14ac:dyDescent="0.2">
      <c r="A1660" s="4" t="s">
        <v>368</v>
      </c>
      <c r="B1660" s="4" t="s">
        <v>963</v>
      </c>
      <c r="C1660" s="4" t="str">
        <f ca="1">IFERROR(__xludf.DUMMYFUNCTION("ARRAY_CONSTRAIN(ARRAYFORMULA(SINGLE(TEXTJOIN(""_"",TRUE,D1660,G1660))), 1, 1)"),"State Policy Network_2008")</f>
        <v>State Policy Network_2008</v>
      </c>
      <c r="D1660" s="4" t="s">
        <v>46</v>
      </c>
      <c r="E1660" s="4" t="s">
        <v>343</v>
      </c>
      <c r="F1660" s="6">
        <v>82000</v>
      </c>
      <c r="G1660" s="4">
        <v>2008</v>
      </c>
    </row>
    <row r="1661" spans="1:7" ht="15" customHeight="1" x14ac:dyDescent="0.2">
      <c r="A1661" s="4" t="s">
        <v>368</v>
      </c>
      <c r="B1661" s="4" t="s">
        <v>964</v>
      </c>
      <c r="C1661" s="4" t="str">
        <f ca="1">IFERROR(__xludf.DUMMYFUNCTION("ARRAY_CONSTRAIN(ARRAYFORMULA(SINGLE(TEXTJOIN(""_"",TRUE,D1661,G1661))), 1, 1)"),"State Policy Network_2008")</f>
        <v>State Policy Network_2008</v>
      </c>
      <c r="D1661" s="4" t="s">
        <v>46</v>
      </c>
      <c r="E1661" s="4" t="s">
        <v>347</v>
      </c>
      <c r="F1661" s="6">
        <v>28941</v>
      </c>
      <c r="G1661" s="4">
        <v>2008</v>
      </c>
    </row>
    <row r="1662" spans="1:7" ht="15" customHeight="1" x14ac:dyDescent="0.2">
      <c r="A1662" s="4" t="s">
        <v>368</v>
      </c>
      <c r="B1662" s="4" t="s">
        <v>965</v>
      </c>
      <c r="C1662" s="4" t="str">
        <f ca="1">IFERROR(__xludf.DUMMYFUNCTION("ARRAY_CONSTRAIN(ARRAYFORMULA(SINGLE(TEXTJOIN(""_"",TRUE,D1662,G1662))), 1, 1)"),"State Policy Network_2007")</f>
        <v>State Policy Network_2007</v>
      </c>
      <c r="D1662" s="4" t="s">
        <v>46</v>
      </c>
      <c r="E1662" s="4" t="s">
        <v>233</v>
      </c>
      <c r="F1662" s="6">
        <v>5846</v>
      </c>
      <c r="G1662" s="4">
        <v>2007</v>
      </c>
    </row>
    <row r="1663" spans="1:7" ht="15" customHeight="1" x14ac:dyDescent="0.2">
      <c r="A1663" s="4" t="s">
        <v>368</v>
      </c>
      <c r="B1663" s="4" t="s">
        <v>966</v>
      </c>
      <c r="C1663" s="4" t="str">
        <f ca="1">IFERROR(__xludf.DUMMYFUNCTION("ARRAY_CONSTRAIN(ARRAYFORMULA(SINGLE(TEXTJOIN(""_"",TRUE,D1663,G1663))), 1, 1)"),"State Policy Network_2007")</f>
        <v>State Policy Network_2007</v>
      </c>
      <c r="D1663" s="4" t="s">
        <v>46</v>
      </c>
      <c r="E1663" s="4" t="s">
        <v>94</v>
      </c>
      <c r="F1663" s="6">
        <v>17894</v>
      </c>
      <c r="G1663" s="4">
        <v>2007</v>
      </c>
    </row>
    <row r="1664" spans="1:7" ht="15" customHeight="1" x14ac:dyDescent="0.2">
      <c r="A1664" s="4" t="s">
        <v>368</v>
      </c>
      <c r="B1664" s="4" t="s">
        <v>967</v>
      </c>
      <c r="C1664" s="4" t="str">
        <f ca="1">IFERROR(__xludf.DUMMYFUNCTION("ARRAY_CONSTRAIN(ARRAYFORMULA(SINGLE(TEXTJOIN(""_"",TRUE,D1664,G1664))), 1, 1)"),"State Policy Network_2007")</f>
        <v>State Policy Network_2007</v>
      </c>
      <c r="D1664" s="4" t="s">
        <v>46</v>
      </c>
      <c r="E1664" s="4" t="s">
        <v>250</v>
      </c>
      <c r="F1664" s="6">
        <v>28750</v>
      </c>
      <c r="G1664" s="4">
        <v>2007</v>
      </c>
    </row>
    <row r="1665" spans="1:7" ht="15" customHeight="1" x14ac:dyDescent="0.2">
      <c r="A1665" s="4" t="s">
        <v>368</v>
      </c>
      <c r="B1665" s="4" t="s">
        <v>968</v>
      </c>
      <c r="C1665" s="4" t="str">
        <f ca="1">IFERROR(__xludf.DUMMYFUNCTION("ARRAY_CONSTRAIN(ARRAYFORMULA(SINGLE(TEXTJOIN(""_"",TRUE,D1665,G1665))), 1, 1)"),"State Policy Network_2007")</f>
        <v>State Policy Network_2007</v>
      </c>
      <c r="D1665" s="4" t="s">
        <v>46</v>
      </c>
      <c r="E1665" s="4" t="s">
        <v>256</v>
      </c>
      <c r="F1665" s="6">
        <v>42322</v>
      </c>
      <c r="G1665" s="4">
        <v>2007</v>
      </c>
    </row>
    <row r="1666" spans="1:7" ht="15" customHeight="1" x14ac:dyDescent="0.2">
      <c r="A1666" s="4" t="s">
        <v>368</v>
      </c>
      <c r="B1666" s="4" t="s">
        <v>969</v>
      </c>
      <c r="C1666" s="4" t="str">
        <f ca="1">IFERROR(__xludf.DUMMYFUNCTION("ARRAY_CONSTRAIN(ARRAYFORMULA(SINGLE(TEXTJOIN(""_"",TRUE,D1666,G1666))), 1, 1)"),"State Policy Network_2007")</f>
        <v>State Policy Network_2007</v>
      </c>
      <c r="D1666" s="4" t="s">
        <v>46</v>
      </c>
      <c r="E1666" s="4" t="s">
        <v>262</v>
      </c>
      <c r="F1666" s="6">
        <v>40000</v>
      </c>
      <c r="G1666" s="4">
        <v>2007</v>
      </c>
    </row>
    <row r="1667" spans="1:7" ht="15" customHeight="1" x14ac:dyDescent="0.2">
      <c r="A1667" s="4" t="s">
        <v>368</v>
      </c>
      <c r="B1667" s="4" t="s">
        <v>970</v>
      </c>
      <c r="C1667" s="4" t="str">
        <f ca="1">IFERROR(__xludf.DUMMYFUNCTION("ARRAY_CONSTRAIN(ARRAYFORMULA(SINGLE(TEXTJOIN(""_"",TRUE,D1667,G1667))), 1, 1)"),"State Policy Network_2007")</f>
        <v>State Policy Network_2007</v>
      </c>
      <c r="D1667" s="4" t="s">
        <v>46</v>
      </c>
      <c r="E1667" s="4" t="s">
        <v>946</v>
      </c>
      <c r="F1667" s="6">
        <v>1386</v>
      </c>
      <c r="G1667" s="4">
        <v>2007</v>
      </c>
    </row>
    <row r="1668" spans="1:7" ht="15" customHeight="1" x14ac:dyDescent="0.2">
      <c r="A1668" s="4" t="s">
        <v>368</v>
      </c>
      <c r="B1668" s="4" t="s">
        <v>971</v>
      </c>
      <c r="C1668" s="4" t="str">
        <f ca="1">IFERROR(__xludf.DUMMYFUNCTION("ARRAY_CONSTRAIN(ARRAYFORMULA(SINGLE(TEXTJOIN(""_"",TRUE,D1668,G1668))), 1, 1)"),"State Policy Network_2007")</f>
        <v>State Policy Network_2007</v>
      </c>
      <c r="D1668" s="4" t="s">
        <v>46</v>
      </c>
      <c r="E1668" s="4" t="s">
        <v>268</v>
      </c>
      <c r="F1668" s="6">
        <v>15664</v>
      </c>
      <c r="G1668" s="4">
        <v>2007</v>
      </c>
    </row>
    <row r="1669" spans="1:7" ht="15" customHeight="1" x14ac:dyDescent="0.2">
      <c r="A1669" s="4" t="s">
        <v>368</v>
      </c>
      <c r="B1669" s="4" t="s">
        <v>972</v>
      </c>
      <c r="C1669" s="4" t="str">
        <f ca="1">IFERROR(__xludf.DUMMYFUNCTION("ARRAY_CONSTRAIN(ARRAYFORMULA(SINGLE(TEXTJOIN(""_"",TRUE,D1669,G1669))), 1, 1)"),"State Policy Network_2007")</f>
        <v>State Policy Network_2007</v>
      </c>
      <c r="D1669" s="4" t="s">
        <v>46</v>
      </c>
      <c r="E1669" s="4" t="s">
        <v>273</v>
      </c>
      <c r="F1669" s="6">
        <v>40000</v>
      </c>
      <c r="G1669" s="4">
        <v>2007</v>
      </c>
    </row>
    <row r="1670" spans="1:7" ht="15" customHeight="1" x14ac:dyDescent="0.2">
      <c r="A1670" s="4" t="s">
        <v>368</v>
      </c>
      <c r="B1670" s="4" t="s">
        <v>973</v>
      </c>
      <c r="C1670" s="4" t="str">
        <f ca="1">IFERROR(__xludf.DUMMYFUNCTION("ARRAY_CONSTRAIN(ARRAYFORMULA(SINGLE(TEXTJOIN(""_"",TRUE,D1670,G1670))), 1, 1)"),"State Policy Network_2007")</f>
        <v>State Policy Network_2007</v>
      </c>
      <c r="D1670" s="4" t="s">
        <v>46</v>
      </c>
      <c r="E1670" s="4" t="s">
        <v>276</v>
      </c>
      <c r="F1670" s="6">
        <v>1182</v>
      </c>
      <c r="G1670" s="4">
        <v>2007</v>
      </c>
    </row>
    <row r="1671" spans="1:7" ht="15" customHeight="1" x14ac:dyDescent="0.2">
      <c r="A1671" s="4" t="s">
        <v>368</v>
      </c>
      <c r="B1671" s="4" t="s">
        <v>974</v>
      </c>
      <c r="C1671" s="4" t="str">
        <f ca="1">IFERROR(__xludf.DUMMYFUNCTION("ARRAY_CONSTRAIN(ARRAYFORMULA(SINGLE(TEXTJOIN(""_"",TRUE,D1671,G1671))), 1, 1)"),"State Policy Network_2007")</f>
        <v>State Policy Network_2007</v>
      </c>
      <c r="D1671" s="4" t="s">
        <v>46</v>
      </c>
      <c r="E1671" s="4" t="s">
        <v>277</v>
      </c>
      <c r="F1671" s="6">
        <v>35975</v>
      </c>
      <c r="G1671" s="4">
        <v>2007</v>
      </c>
    </row>
    <row r="1672" spans="1:7" ht="15" customHeight="1" x14ac:dyDescent="0.2">
      <c r="A1672" s="4" t="s">
        <v>368</v>
      </c>
      <c r="B1672" s="4" t="s">
        <v>975</v>
      </c>
      <c r="C1672" s="4" t="str">
        <f ca="1">IFERROR(__xludf.DUMMYFUNCTION("ARRAY_CONSTRAIN(ARRAYFORMULA(SINGLE(TEXTJOIN(""_"",TRUE,D1672,G1672))), 1, 1)"),"State Policy Network_2007")</f>
        <v>State Policy Network_2007</v>
      </c>
      <c r="D1672" s="4" t="s">
        <v>46</v>
      </c>
      <c r="E1672" s="4" t="s">
        <v>278</v>
      </c>
      <c r="F1672" s="6">
        <v>1549</v>
      </c>
      <c r="G1672" s="4">
        <v>2007</v>
      </c>
    </row>
    <row r="1673" spans="1:7" ht="15" customHeight="1" x14ac:dyDescent="0.2">
      <c r="A1673" s="4" t="s">
        <v>368</v>
      </c>
      <c r="B1673" s="4" t="s">
        <v>976</v>
      </c>
      <c r="C1673" s="4" t="str">
        <f ca="1">IFERROR(__xludf.DUMMYFUNCTION("ARRAY_CONSTRAIN(ARRAYFORMULA(SINGLE(TEXTJOIN(""_"",TRUE,D1673,G1673))), 1, 1)"),"State Policy Network_2007")</f>
        <v>State Policy Network_2007</v>
      </c>
      <c r="D1673" s="4" t="s">
        <v>46</v>
      </c>
      <c r="E1673" s="4" t="s">
        <v>287</v>
      </c>
      <c r="F1673" s="6">
        <v>7113</v>
      </c>
      <c r="G1673" s="4">
        <v>2007</v>
      </c>
    </row>
    <row r="1674" spans="1:7" ht="15" customHeight="1" x14ac:dyDescent="0.2">
      <c r="A1674" s="4" t="s">
        <v>368</v>
      </c>
      <c r="B1674" s="4" t="s">
        <v>977</v>
      </c>
      <c r="C1674" s="4" t="str">
        <f ca="1">IFERROR(__xludf.DUMMYFUNCTION("ARRAY_CONSTRAIN(ARRAYFORMULA(SINGLE(TEXTJOIN(""_"",TRUE,D1674,G1674))), 1, 1)"),"State Policy Network_2007")</f>
        <v>State Policy Network_2007</v>
      </c>
      <c r="D1674" s="4" t="s">
        <v>46</v>
      </c>
      <c r="E1674" s="4" t="s">
        <v>291</v>
      </c>
      <c r="F1674" s="6">
        <v>40000</v>
      </c>
      <c r="G1674" s="4">
        <v>2007</v>
      </c>
    </row>
    <row r="1675" spans="1:7" ht="15" customHeight="1" x14ac:dyDescent="0.2">
      <c r="A1675" s="4" t="s">
        <v>368</v>
      </c>
      <c r="B1675" s="4" t="s">
        <v>978</v>
      </c>
      <c r="C1675" s="4" t="str">
        <f ca="1">IFERROR(__xludf.DUMMYFUNCTION("ARRAY_CONSTRAIN(ARRAYFORMULA(SINGLE(TEXTJOIN(""_"",TRUE,D1675,G1675))), 1, 1)"),"State Policy Network_2007")</f>
        <v>State Policy Network_2007</v>
      </c>
      <c r="D1675" s="4" t="s">
        <v>46</v>
      </c>
      <c r="E1675" s="4" t="s">
        <v>291</v>
      </c>
      <c r="F1675" s="6">
        <v>622</v>
      </c>
      <c r="G1675" s="4">
        <v>2007</v>
      </c>
    </row>
    <row r="1676" spans="1:7" ht="15" customHeight="1" x14ac:dyDescent="0.2">
      <c r="A1676" s="4" t="s">
        <v>368</v>
      </c>
      <c r="B1676" s="4" t="s">
        <v>979</v>
      </c>
      <c r="C1676" s="4" t="str">
        <f ca="1">IFERROR(__xludf.DUMMYFUNCTION("ARRAY_CONSTRAIN(ARRAYFORMULA(SINGLE(TEXTJOIN(""_"",TRUE,D1676,G1676))), 1, 1)"),"State Policy Network_2007")</f>
        <v>State Policy Network_2007</v>
      </c>
      <c r="D1676" s="4" t="s">
        <v>46</v>
      </c>
      <c r="E1676" s="4" t="s">
        <v>292</v>
      </c>
      <c r="F1676" s="6">
        <v>5714</v>
      </c>
      <c r="G1676" s="4">
        <v>2007</v>
      </c>
    </row>
    <row r="1677" spans="1:7" ht="15" customHeight="1" x14ac:dyDescent="0.2">
      <c r="A1677" s="4" t="s">
        <v>368</v>
      </c>
      <c r="B1677" s="4" t="s">
        <v>980</v>
      </c>
      <c r="C1677" s="4" t="str">
        <f ca="1">IFERROR(__xludf.DUMMYFUNCTION("ARRAY_CONSTRAIN(ARRAYFORMULA(SINGLE(TEXTJOIN(""_"",TRUE,D1677,G1677))), 1, 1)"),"State Policy Network_2007")</f>
        <v>State Policy Network_2007</v>
      </c>
      <c r="D1677" s="4" t="s">
        <v>46</v>
      </c>
      <c r="E1677" s="4" t="s">
        <v>294</v>
      </c>
      <c r="F1677" s="6">
        <v>819</v>
      </c>
      <c r="G1677" s="4">
        <v>2007</v>
      </c>
    </row>
    <row r="1678" spans="1:7" ht="15" customHeight="1" x14ac:dyDescent="0.2">
      <c r="A1678" s="4" t="s">
        <v>368</v>
      </c>
      <c r="B1678" s="4" t="s">
        <v>981</v>
      </c>
      <c r="C1678" s="4" t="str">
        <f ca="1">IFERROR(__xludf.DUMMYFUNCTION("ARRAY_CONSTRAIN(ARRAYFORMULA(SINGLE(TEXTJOIN(""_"",TRUE,D1678,G1678))), 1, 1)"),"State Policy Network_2007")</f>
        <v>State Policy Network_2007</v>
      </c>
      <c r="D1678" s="4" t="s">
        <v>46</v>
      </c>
      <c r="E1678" s="4" t="s">
        <v>300</v>
      </c>
      <c r="F1678" s="6">
        <v>411</v>
      </c>
      <c r="G1678" s="4">
        <v>2007</v>
      </c>
    </row>
    <row r="1679" spans="1:7" ht="15" customHeight="1" x14ac:dyDescent="0.2">
      <c r="A1679" s="4" t="s">
        <v>368</v>
      </c>
      <c r="B1679" s="4" t="s">
        <v>982</v>
      </c>
      <c r="C1679" s="4" t="str">
        <f ca="1">IFERROR(__xludf.DUMMYFUNCTION("ARRAY_CONSTRAIN(ARRAYFORMULA(SINGLE(TEXTJOIN(""_"",TRUE,D1679,G1679))), 1, 1)"),"State Policy Network_2007")</f>
        <v>State Policy Network_2007</v>
      </c>
      <c r="D1679" s="4" t="s">
        <v>46</v>
      </c>
      <c r="E1679" s="4" t="s">
        <v>305</v>
      </c>
      <c r="F1679" s="6">
        <v>5000</v>
      </c>
      <c r="G1679" s="4">
        <v>2007</v>
      </c>
    </row>
    <row r="1680" spans="1:7" ht="15" customHeight="1" x14ac:dyDescent="0.2">
      <c r="A1680" s="4" t="s">
        <v>368</v>
      </c>
      <c r="B1680" s="4" t="s">
        <v>983</v>
      </c>
      <c r="C1680" s="4" t="str">
        <f ca="1">IFERROR(__xludf.DUMMYFUNCTION("ARRAY_CONSTRAIN(ARRAYFORMULA(SINGLE(TEXTJOIN(""_"",TRUE,D1680,G1680))), 1, 1)"),"State Policy Network_2007")</f>
        <v>State Policy Network_2007</v>
      </c>
      <c r="D1680" s="4" t="s">
        <v>46</v>
      </c>
      <c r="E1680" s="4" t="s">
        <v>309</v>
      </c>
      <c r="F1680" s="6">
        <v>6044</v>
      </c>
      <c r="G1680" s="4">
        <v>2007</v>
      </c>
    </row>
    <row r="1681" spans="1:9" ht="15" customHeight="1" x14ac:dyDescent="0.2">
      <c r="A1681" s="4" t="s">
        <v>368</v>
      </c>
      <c r="B1681" s="4" t="s">
        <v>984</v>
      </c>
      <c r="C1681" s="4" t="str">
        <f ca="1">IFERROR(__xludf.DUMMYFUNCTION("ARRAY_CONSTRAIN(ARRAYFORMULA(SINGLE(TEXTJOIN(""_"",TRUE,D1681,G1681))), 1, 1)"),"State Policy Network_2007")</f>
        <v>State Policy Network_2007</v>
      </c>
      <c r="D1681" s="4" t="s">
        <v>46</v>
      </c>
      <c r="E1681" s="4" t="s">
        <v>313</v>
      </c>
      <c r="F1681" s="6">
        <v>76197</v>
      </c>
      <c r="G1681" s="4">
        <v>2007</v>
      </c>
    </row>
    <row r="1682" spans="1:9" ht="15" customHeight="1" x14ac:dyDescent="0.2">
      <c r="A1682" s="4" t="s">
        <v>368</v>
      </c>
      <c r="B1682" s="4" t="s">
        <v>985</v>
      </c>
      <c r="C1682" s="4" t="str">
        <f ca="1">IFERROR(__xludf.DUMMYFUNCTION("ARRAY_CONSTRAIN(ARRAYFORMULA(SINGLE(TEXTJOIN(""_"",TRUE,D1682,G1682))), 1, 1)"),"State Policy Network_2007")</f>
        <v>State Policy Network_2007</v>
      </c>
      <c r="D1682" s="4" t="s">
        <v>46</v>
      </c>
      <c r="E1682" s="4" t="s">
        <v>314</v>
      </c>
      <c r="F1682" s="6">
        <v>50916</v>
      </c>
      <c r="G1682" s="4">
        <v>2007</v>
      </c>
    </row>
    <row r="1683" spans="1:9" ht="15" customHeight="1" x14ac:dyDescent="0.2">
      <c r="A1683" s="4" t="s">
        <v>368</v>
      </c>
      <c r="B1683" s="4" t="s">
        <v>986</v>
      </c>
      <c r="C1683" s="4" t="str">
        <f ca="1">IFERROR(__xludf.DUMMYFUNCTION("ARRAY_CONSTRAIN(ARRAYFORMULA(SINGLE(TEXTJOIN(""_"",TRUE,D1683,G1683))), 1, 1)"),"State Policy Network_2007")</f>
        <v>State Policy Network_2007</v>
      </c>
      <c r="D1683" s="4" t="s">
        <v>46</v>
      </c>
      <c r="E1683" s="4" t="s">
        <v>315</v>
      </c>
      <c r="F1683" s="6">
        <v>40000</v>
      </c>
      <c r="G1683" s="4">
        <v>2007</v>
      </c>
    </row>
    <row r="1684" spans="1:9" ht="15" customHeight="1" x14ac:dyDescent="0.2">
      <c r="A1684" s="4" t="s">
        <v>368</v>
      </c>
      <c r="B1684" s="4" t="s">
        <v>987</v>
      </c>
      <c r="C1684" s="4" t="str">
        <f ca="1">IFERROR(__xludf.DUMMYFUNCTION("ARRAY_CONSTRAIN(ARRAYFORMULA(SINGLE(TEXTJOIN(""_"",TRUE,D1684,G1684))), 1, 1)"),"State Policy Network_2007")</f>
        <v>State Policy Network_2007</v>
      </c>
      <c r="D1684" s="4" t="s">
        <v>46</v>
      </c>
      <c r="E1684" s="4" t="s">
        <v>323</v>
      </c>
      <c r="F1684" s="6">
        <v>5000</v>
      </c>
      <c r="G1684" s="4">
        <v>2007</v>
      </c>
    </row>
    <row r="1685" spans="1:9" ht="15" customHeight="1" x14ac:dyDescent="0.2">
      <c r="A1685" s="4" t="s">
        <v>368</v>
      </c>
      <c r="B1685" s="4" t="s">
        <v>988</v>
      </c>
      <c r="C1685" s="4" t="str">
        <f ca="1">IFERROR(__xludf.DUMMYFUNCTION("ARRAY_CONSTRAIN(ARRAYFORMULA(SINGLE(TEXTJOIN(""_"",TRUE,D1685,G1685))), 1, 1)"),"State Policy Network_2007")</f>
        <v>State Policy Network_2007</v>
      </c>
      <c r="D1685" s="4" t="s">
        <v>46</v>
      </c>
      <c r="E1685" s="8" t="s">
        <v>325</v>
      </c>
      <c r="F1685" s="6">
        <v>718</v>
      </c>
      <c r="G1685" s="4">
        <v>2007</v>
      </c>
    </row>
    <row r="1686" spans="1:9" ht="15" customHeight="1" x14ac:dyDescent="0.2">
      <c r="A1686" s="4" t="s">
        <v>368</v>
      </c>
      <c r="B1686" s="4" t="s">
        <v>989</v>
      </c>
      <c r="C1686" s="4" t="str">
        <f ca="1">IFERROR(__xludf.DUMMYFUNCTION("ARRAY_CONSTRAIN(ARRAYFORMULA(SINGLE(TEXTJOIN(""_"",TRUE,D1686,G1686))), 1, 1)"),"State Policy Network_2007")</f>
        <v>State Policy Network_2007</v>
      </c>
      <c r="D1686" s="4" t="s">
        <v>46</v>
      </c>
      <c r="E1686" s="4" t="s">
        <v>327</v>
      </c>
      <c r="F1686" s="6">
        <v>15000</v>
      </c>
      <c r="G1686" s="4">
        <v>2007</v>
      </c>
    </row>
    <row r="1687" spans="1:9" ht="15" customHeight="1" x14ac:dyDescent="0.2">
      <c r="A1687" s="4" t="s">
        <v>368</v>
      </c>
      <c r="B1687" s="4" t="s">
        <v>990</v>
      </c>
      <c r="C1687" s="4" t="str">
        <f ca="1">IFERROR(__xludf.DUMMYFUNCTION("ARRAY_CONSTRAIN(ARRAYFORMULA(SINGLE(TEXTJOIN(""_"",TRUE,D1687,G1687))), 1, 1)"),"State Policy Network_2007")</f>
        <v>State Policy Network_2007</v>
      </c>
      <c r="D1687" s="4" t="s">
        <v>46</v>
      </c>
      <c r="E1687" s="4" t="s">
        <v>328</v>
      </c>
      <c r="F1687" s="6">
        <v>35000</v>
      </c>
      <c r="G1687" s="4">
        <v>2007</v>
      </c>
    </row>
    <row r="1688" spans="1:9" ht="15" customHeight="1" x14ac:dyDescent="0.2">
      <c r="A1688" s="4" t="s">
        <v>368</v>
      </c>
      <c r="B1688" s="4" t="s">
        <v>991</v>
      </c>
      <c r="C1688" s="4" t="str">
        <f ca="1">IFERROR(__xludf.DUMMYFUNCTION("ARRAY_CONSTRAIN(ARRAYFORMULA(SINGLE(TEXTJOIN(""_"",TRUE,D1688,G1688))), 1, 1)"),"State Policy Network_2007")</f>
        <v>State Policy Network_2007</v>
      </c>
      <c r="D1688" s="4" t="s">
        <v>46</v>
      </c>
      <c r="E1688" s="4" t="s">
        <v>332</v>
      </c>
      <c r="F1688" s="6">
        <v>87951</v>
      </c>
      <c r="G1688" s="4">
        <v>2007</v>
      </c>
    </row>
    <row r="1689" spans="1:9" ht="15" customHeight="1" x14ac:dyDescent="0.2">
      <c r="A1689" s="4" t="s">
        <v>368</v>
      </c>
      <c r="B1689" s="4" t="s">
        <v>992</v>
      </c>
      <c r="C1689" s="4" t="str">
        <f ca="1">IFERROR(__xludf.DUMMYFUNCTION("ARRAY_CONSTRAIN(ARRAYFORMULA(SINGLE(TEXTJOIN(""_"",TRUE,D1689,G1689))), 1, 1)"),"State Policy Network_2007")</f>
        <v>State Policy Network_2007</v>
      </c>
      <c r="D1689" s="4" t="s">
        <v>46</v>
      </c>
      <c r="E1689" s="4" t="s">
        <v>334</v>
      </c>
      <c r="F1689" s="6">
        <v>1139</v>
      </c>
      <c r="G1689" s="4">
        <v>2007</v>
      </c>
      <c r="I1689" s="4" t="s">
        <v>751</v>
      </c>
    </row>
    <row r="1690" spans="1:9" ht="15" customHeight="1" x14ac:dyDescent="0.2">
      <c r="A1690" s="4" t="s">
        <v>368</v>
      </c>
      <c r="B1690" s="4" t="s">
        <v>993</v>
      </c>
      <c r="C1690" s="4" t="str">
        <f ca="1">IFERROR(__xludf.DUMMYFUNCTION("ARRAY_CONSTRAIN(ARRAYFORMULA(SINGLE(TEXTJOIN(""_"",TRUE,D1690,G1690))), 1, 1)"),"State Policy Network_2007")</f>
        <v>State Policy Network_2007</v>
      </c>
      <c r="D1690" s="4" t="s">
        <v>46</v>
      </c>
      <c r="E1690" s="4" t="s">
        <v>334</v>
      </c>
      <c r="F1690" s="6">
        <v>40000</v>
      </c>
      <c r="G1690" s="4">
        <v>2007</v>
      </c>
      <c r="I1690" s="4" t="s">
        <v>751</v>
      </c>
    </row>
    <row r="1691" spans="1:9" ht="15" customHeight="1" x14ac:dyDescent="0.2">
      <c r="A1691" s="4" t="s">
        <v>368</v>
      </c>
      <c r="B1691" s="4" t="s">
        <v>994</v>
      </c>
      <c r="C1691" s="4" t="str">
        <f ca="1">IFERROR(__xludf.DUMMYFUNCTION("ARRAY_CONSTRAIN(ARRAYFORMULA(SINGLE(TEXTJOIN(""_"",TRUE,D1691,G1691))), 1, 1)"),"State Policy Network_2007")</f>
        <v>State Policy Network_2007</v>
      </c>
      <c r="D1691" s="4" t="s">
        <v>46</v>
      </c>
      <c r="E1691" s="4" t="s">
        <v>337</v>
      </c>
      <c r="F1691" s="6">
        <v>1324</v>
      </c>
      <c r="G1691" s="4">
        <v>2007</v>
      </c>
    </row>
    <row r="1692" spans="1:9" ht="15" customHeight="1" x14ac:dyDescent="0.2">
      <c r="A1692" s="4" t="s">
        <v>368</v>
      </c>
      <c r="B1692" s="4" t="s">
        <v>995</v>
      </c>
      <c r="C1692" s="4" t="str">
        <f ca="1">IFERROR(__xludf.DUMMYFUNCTION("ARRAY_CONSTRAIN(ARRAYFORMULA(SINGLE(TEXTJOIN(""_"",TRUE,D1692,G1692))), 1, 1)"),"State Policy Network_2007")</f>
        <v>State Policy Network_2007</v>
      </c>
      <c r="D1692" s="4" t="s">
        <v>46</v>
      </c>
      <c r="E1692" s="4" t="s">
        <v>340</v>
      </c>
      <c r="F1692" s="6">
        <v>52589</v>
      </c>
      <c r="G1692" s="4">
        <v>2007</v>
      </c>
    </row>
    <row r="1693" spans="1:9" ht="15" customHeight="1" x14ac:dyDescent="0.2">
      <c r="A1693" s="4" t="s">
        <v>368</v>
      </c>
      <c r="B1693" s="4" t="s">
        <v>996</v>
      </c>
      <c r="C1693" s="4" t="str">
        <f ca="1">IFERROR(__xludf.DUMMYFUNCTION("ARRAY_CONSTRAIN(ARRAYFORMULA(SINGLE(TEXTJOIN(""_"",TRUE,D1693,G1693))), 1, 1)"),"State Policy Network_2007")</f>
        <v>State Policy Network_2007</v>
      </c>
      <c r="D1693" s="4" t="s">
        <v>46</v>
      </c>
      <c r="E1693" s="4" t="s">
        <v>342</v>
      </c>
      <c r="F1693" s="6">
        <v>80000</v>
      </c>
      <c r="G1693" s="4">
        <v>2007</v>
      </c>
    </row>
    <row r="1694" spans="1:9" ht="15" customHeight="1" x14ac:dyDescent="0.2">
      <c r="A1694" s="4" t="s">
        <v>368</v>
      </c>
      <c r="B1694" s="4" t="s">
        <v>997</v>
      </c>
      <c r="C1694" s="4" t="str">
        <f ca="1">IFERROR(__xludf.DUMMYFUNCTION("ARRAY_CONSTRAIN(ARRAYFORMULA(SINGLE(TEXTJOIN(""_"",TRUE,D1694,G1694))), 1, 1)"),"State Policy Network_2007")</f>
        <v>State Policy Network_2007</v>
      </c>
      <c r="D1694" s="4" t="s">
        <v>46</v>
      </c>
      <c r="E1694" s="4" t="s">
        <v>344</v>
      </c>
      <c r="F1694" s="6">
        <v>15000</v>
      </c>
      <c r="G1694" s="4">
        <v>2007</v>
      </c>
    </row>
    <row r="1695" spans="1:9" ht="15" customHeight="1" x14ac:dyDescent="0.2">
      <c r="A1695" s="4" t="s">
        <v>368</v>
      </c>
      <c r="B1695" s="4" t="s">
        <v>998</v>
      </c>
      <c r="C1695" s="4" t="str">
        <f ca="1">IFERROR(__xludf.DUMMYFUNCTION("ARRAY_CONSTRAIN(ARRAYFORMULA(SINGLE(TEXTJOIN(""_"",TRUE,D1695,G1695))), 1, 1)"),"State Policy Network_2007")</f>
        <v>State Policy Network_2007</v>
      </c>
      <c r="D1695" s="4" t="s">
        <v>46</v>
      </c>
      <c r="E1695" s="4" t="s">
        <v>348</v>
      </c>
      <c r="F1695" s="6">
        <v>7029</v>
      </c>
      <c r="G1695" s="4">
        <v>2007</v>
      </c>
    </row>
    <row r="1696" spans="1:9" ht="15" customHeight="1" x14ac:dyDescent="0.2">
      <c r="A1696" s="4" t="s">
        <v>368</v>
      </c>
      <c r="B1696" s="4" t="s">
        <v>999</v>
      </c>
      <c r="C1696" s="4" t="str">
        <f ca="1">IFERROR(__xludf.DUMMYFUNCTION("ARRAY_CONSTRAIN(ARRAYFORMULA(SINGLE(TEXTJOIN(""_"",TRUE,D1696,G1696))), 1, 1)"),"State Policy Network_2007")</f>
        <v>State Policy Network_2007</v>
      </c>
      <c r="D1696" s="4" t="s">
        <v>46</v>
      </c>
      <c r="E1696" s="4" t="s">
        <v>351</v>
      </c>
      <c r="F1696" s="6">
        <v>61055</v>
      </c>
      <c r="G1696" s="4">
        <v>2007</v>
      </c>
    </row>
    <row r="1697" spans="1:9" ht="15" customHeight="1" x14ac:dyDescent="0.2">
      <c r="A1697" s="4" t="s">
        <v>368</v>
      </c>
      <c r="B1697" s="4" t="s">
        <v>1000</v>
      </c>
      <c r="C1697" s="4" t="str">
        <f ca="1">IFERROR(__xludf.DUMMYFUNCTION("ARRAY_CONSTRAIN(ARRAYFORMULA(SINGLE(TEXTJOIN(""_"",TRUE,D1697,G1697))), 1, 1)"),"State Policy Network_2006")</f>
        <v>State Policy Network_2006</v>
      </c>
      <c r="D1697" s="4" t="s">
        <v>46</v>
      </c>
      <c r="E1697" s="4" t="s">
        <v>235</v>
      </c>
      <c r="F1697" s="6">
        <v>26000</v>
      </c>
      <c r="G1697" s="4">
        <v>2006</v>
      </c>
    </row>
    <row r="1698" spans="1:9" ht="15" customHeight="1" x14ac:dyDescent="0.2">
      <c r="A1698" s="4" t="s">
        <v>368</v>
      </c>
      <c r="B1698" s="4" t="s">
        <v>1001</v>
      </c>
      <c r="C1698" s="4" t="str">
        <f ca="1">IFERROR(__xludf.DUMMYFUNCTION("ARRAY_CONSTRAIN(ARRAYFORMULA(SINGLE(TEXTJOIN(""_"",TRUE,D1698,G1698))), 1, 1)"),"State Policy Network_2006")</f>
        <v>State Policy Network_2006</v>
      </c>
      <c r="D1698" s="4" t="s">
        <v>46</v>
      </c>
      <c r="E1698" s="4" t="s">
        <v>252</v>
      </c>
      <c r="F1698" s="6">
        <v>30000</v>
      </c>
      <c r="G1698" s="4">
        <v>2006</v>
      </c>
    </row>
    <row r="1699" spans="1:9" ht="15" customHeight="1" x14ac:dyDescent="0.2">
      <c r="A1699" s="4" t="s">
        <v>368</v>
      </c>
      <c r="B1699" s="4" t="s">
        <v>1002</v>
      </c>
      <c r="C1699" s="4" t="str">
        <f ca="1">IFERROR(__xludf.DUMMYFUNCTION("ARRAY_CONSTRAIN(ARRAYFORMULA(SINGLE(TEXTJOIN(""_"",TRUE,D1699,G1699))), 1, 1)"),"State Policy Network_2006")</f>
        <v>State Policy Network_2006</v>
      </c>
      <c r="D1699" s="4" t="s">
        <v>46</v>
      </c>
      <c r="E1699" s="4" t="s">
        <v>287</v>
      </c>
      <c r="F1699" s="6">
        <v>30000</v>
      </c>
      <c r="G1699" s="4">
        <v>2006</v>
      </c>
    </row>
    <row r="1700" spans="1:9" ht="15" customHeight="1" x14ac:dyDescent="0.2">
      <c r="A1700" s="4" t="s">
        <v>368</v>
      </c>
      <c r="B1700" s="4" t="s">
        <v>1003</v>
      </c>
      <c r="C1700" s="4" t="str">
        <f ca="1">IFERROR(__xludf.DUMMYFUNCTION("ARRAY_CONSTRAIN(ARRAYFORMULA(SINGLE(TEXTJOIN(""_"",TRUE,D1700,G1700))), 1, 1)"),"State Policy Network_2006")</f>
        <v>State Policy Network_2006</v>
      </c>
      <c r="D1700" s="4" t="s">
        <v>46</v>
      </c>
      <c r="E1700" s="4" t="s">
        <v>291</v>
      </c>
      <c r="F1700" s="6">
        <v>30000</v>
      </c>
      <c r="G1700" s="4">
        <v>2006</v>
      </c>
    </row>
    <row r="1701" spans="1:9" ht="15" customHeight="1" x14ac:dyDescent="0.2">
      <c r="A1701" s="4" t="s">
        <v>368</v>
      </c>
      <c r="B1701" s="4" t="s">
        <v>1004</v>
      </c>
      <c r="C1701" s="4" t="str">
        <f ca="1">IFERROR(__xludf.DUMMYFUNCTION("ARRAY_CONSTRAIN(ARRAYFORMULA(SINGLE(TEXTJOIN(""_"",TRUE,D1701,G1701))), 1, 1)"),"State Policy Network_2006")</f>
        <v>State Policy Network_2006</v>
      </c>
      <c r="D1701" s="4" t="s">
        <v>46</v>
      </c>
      <c r="E1701" s="4" t="s">
        <v>303</v>
      </c>
      <c r="F1701" s="6">
        <v>25000</v>
      </c>
      <c r="G1701" s="4">
        <v>2006</v>
      </c>
    </row>
    <row r="1702" spans="1:9" ht="15" customHeight="1" x14ac:dyDescent="0.2">
      <c r="A1702" s="4" t="s">
        <v>368</v>
      </c>
      <c r="B1702" s="4" t="s">
        <v>1005</v>
      </c>
      <c r="C1702" s="4" t="str">
        <f ca="1">IFERROR(__xludf.DUMMYFUNCTION("ARRAY_CONSTRAIN(ARRAYFORMULA(SINGLE(TEXTJOIN(""_"",TRUE,D1702,G1702))), 1, 1)"),"State Policy Network_2006")</f>
        <v>State Policy Network_2006</v>
      </c>
      <c r="D1702" s="4" t="s">
        <v>46</v>
      </c>
      <c r="E1702" s="4" t="s">
        <v>331</v>
      </c>
      <c r="F1702" s="6">
        <v>20000</v>
      </c>
      <c r="G1702" s="4">
        <v>2006</v>
      </c>
    </row>
    <row r="1703" spans="1:9" ht="15" customHeight="1" x14ac:dyDescent="0.2">
      <c r="A1703" s="4" t="s">
        <v>368</v>
      </c>
      <c r="B1703" s="4" t="s">
        <v>1006</v>
      </c>
      <c r="C1703" s="4" t="str">
        <f ca="1">IFERROR(__xludf.DUMMYFUNCTION("ARRAY_CONSTRAIN(ARRAYFORMULA(SINGLE(TEXTJOIN(""_"",TRUE,D1703,G1703))), 1, 1)"),"State Policy Network_2006")</f>
        <v>State Policy Network_2006</v>
      </c>
      <c r="D1703" s="4" t="s">
        <v>46</v>
      </c>
      <c r="E1703" s="4" t="s">
        <v>334</v>
      </c>
      <c r="F1703" s="6">
        <v>30000</v>
      </c>
      <c r="G1703" s="4">
        <v>2006</v>
      </c>
      <c r="I1703" s="4" t="s">
        <v>751</v>
      </c>
    </row>
    <row r="1704" spans="1:9" ht="15" customHeight="1" x14ac:dyDescent="0.2">
      <c r="A1704" s="4" t="s">
        <v>368</v>
      </c>
      <c r="B1704" s="4" t="s">
        <v>1007</v>
      </c>
      <c r="C1704" s="4" t="str">
        <f ca="1">IFERROR(__xludf.DUMMYFUNCTION("ARRAY_CONSTRAIN(ARRAYFORMULA(SINGLE(TEXTJOIN(""_"",TRUE,D1704,G1704))), 1, 1)"),"State Policy Network_2006")</f>
        <v>State Policy Network_2006</v>
      </c>
      <c r="D1704" s="4" t="s">
        <v>46</v>
      </c>
      <c r="E1704" s="4" t="s">
        <v>351</v>
      </c>
      <c r="F1704" s="6">
        <v>25000</v>
      </c>
      <c r="G1704" s="4">
        <v>2006</v>
      </c>
    </row>
    <row r="1705" spans="1:9" ht="15" customHeight="1" x14ac:dyDescent="0.2">
      <c r="A1705" s="4" t="s">
        <v>368</v>
      </c>
      <c r="B1705" s="4" t="s">
        <v>1008</v>
      </c>
      <c r="C1705" s="4" t="str">
        <f ca="1">IFERROR(__xludf.DUMMYFUNCTION("ARRAY_CONSTRAIN(ARRAYFORMULA(SINGLE(TEXTJOIN(""_"",TRUE,D1705,G1705))), 1, 1)"),"State Policy Network_2005")</f>
        <v>State Policy Network_2005</v>
      </c>
      <c r="D1705" s="4" t="s">
        <v>46</v>
      </c>
      <c r="E1705" s="4" t="s">
        <v>252</v>
      </c>
      <c r="F1705" s="6">
        <v>5000</v>
      </c>
      <c r="G1705" s="4">
        <v>2005</v>
      </c>
    </row>
    <row r="1706" spans="1:9" ht="15" customHeight="1" x14ac:dyDescent="0.2">
      <c r="A1706" s="4" t="s">
        <v>368</v>
      </c>
      <c r="B1706" s="4" t="s">
        <v>1009</v>
      </c>
      <c r="C1706" s="4" t="str">
        <f ca="1">IFERROR(__xludf.DUMMYFUNCTION("ARRAY_CONSTRAIN(ARRAYFORMULA(SINGLE(TEXTJOIN(""_"",TRUE,D1706,G1706))), 1, 1)"),"State Policy Network_2005")</f>
        <v>State Policy Network_2005</v>
      </c>
      <c r="D1706" s="4" t="s">
        <v>46</v>
      </c>
      <c r="E1706" s="4" t="s">
        <v>270</v>
      </c>
      <c r="F1706" s="6">
        <v>2500</v>
      </c>
      <c r="G1706" s="4">
        <v>2005</v>
      </c>
    </row>
    <row r="1707" spans="1:9" ht="15" customHeight="1" x14ac:dyDescent="0.2">
      <c r="A1707" s="4" t="s">
        <v>368</v>
      </c>
      <c r="B1707" s="4" t="s">
        <v>1010</v>
      </c>
      <c r="C1707" s="4" t="str">
        <f ca="1">IFERROR(__xludf.DUMMYFUNCTION("ARRAY_CONSTRAIN(ARRAYFORMULA(SINGLE(TEXTJOIN(""_"",TRUE,D1707,G1707))), 1, 1)"),"State Policy Network_2005")</f>
        <v>State Policy Network_2005</v>
      </c>
      <c r="D1707" s="4" t="s">
        <v>46</v>
      </c>
      <c r="E1707" s="4" t="s">
        <v>277</v>
      </c>
      <c r="F1707" s="6">
        <v>5000</v>
      </c>
      <c r="G1707" s="4">
        <v>2005</v>
      </c>
    </row>
    <row r="1708" spans="1:9" ht="15" customHeight="1" x14ac:dyDescent="0.2">
      <c r="A1708" s="4" t="s">
        <v>368</v>
      </c>
      <c r="B1708" s="4" t="s">
        <v>1011</v>
      </c>
      <c r="C1708" s="4" t="str">
        <f ca="1">IFERROR(__xludf.DUMMYFUNCTION("ARRAY_CONSTRAIN(ARRAYFORMULA(SINGLE(TEXTJOIN(""_"",TRUE,D1708,G1708))), 1, 1)"),"State Policy Network_2005")</f>
        <v>State Policy Network_2005</v>
      </c>
      <c r="D1708" s="4" t="s">
        <v>46</v>
      </c>
      <c r="E1708" s="4" t="s">
        <v>278</v>
      </c>
      <c r="F1708" s="6">
        <v>2500</v>
      </c>
      <c r="G1708" s="4">
        <v>2005</v>
      </c>
    </row>
    <row r="1709" spans="1:9" ht="15" customHeight="1" x14ac:dyDescent="0.2">
      <c r="A1709" s="4" t="s">
        <v>368</v>
      </c>
      <c r="B1709" s="4" t="s">
        <v>1012</v>
      </c>
      <c r="C1709" s="4" t="str">
        <f ca="1">IFERROR(__xludf.DUMMYFUNCTION("ARRAY_CONSTRAIN(ARRAYFORMULA(SINGLE(TEXTJOIN(""_"",TRUE,D1709,G1709))), 1, 1)"),"State Policy Network_2005")</f>
        <v>State Policy Network_2005</v>
      </c>
      <c r="D1709" s="4" t="s">
        <v>46</v>
      </c>
      <c r="E1709" s="4" t="s">
        <v>280</v>
      </c>
      <c r="F1709" s="6">
        <v>2500</v>
      </c>
      <c r="G1709" s="4">
        <v>2005</v>
      </c>
    </row>
    <row r="1710" spans="1:9" ht="15" customHeight="1" x14ac:dyDescent="0.2">
      <c r="A1710" s="4" t="s">
        <v>368</v>
      </c>
      <c r="B1710" s="4" t="s">
        <v>1013</v>
      </c>
      <c r="C1710" s="4" t="str">
        <f ca="1">IFERROR(__xludf.DUMMYFUNCTION("ARRAY_CONSTRAIN(ARRAYFORMULA(SINGLE(TEXTJOIN(""_"",TRUE,D1710,G1710))), 1, 1)"),"State Policy Network_2005")</f>
        <v>State Policy Network_2005</v>
      </c>
      <c r="D1710" s="4" t="s">
        <v>46</v>
      </c>
      <c r="E1710" s="4" t="s">
        <v>286</v>
      </c>
      <c r="F1710" s="6">
        <v>7500</v>
      </c>
      <c r="G1710" s="4">
        <v>2005</v>
      </c>
    </row>
    <row r="1711" spans="1:9" ht="15" customHeight="1" x14ac:dyDescent="0.2">
      <c r="A1711" s="4" t="s">
        <v>368</v>
      </c>
      <c r="B1711" s="4" t="s">
        <v>1014</v>
      </c>
      <c r="C1711" s="4" t="str">
        <f ca="1">IFERROR(__xludf.DUMMYFUNCTION("ARRAY_CONSTRAIN(ARRAYFORMULA(SINGLE(TEXTJOIN(""_"",TRUE,D1711,G1711))), 1, 1)"),"State Policy Network_2005")</f>
        <v>State Policy Network_2005</v>
      </c>
      <c r="D1711" s="4" t="s">
        <v>46</v>
      </c>
      <c r="E1711" s="4" t="s">
        <v>295</v>
      </c>
      <c r="F1711" s="6">
        <v>17500</v>
      </c>
      <c r="G1711" s="4">
        <v>2005</v>
      </c>
    </row>
    <row r="1712" spans="1:9" ht="15" customHeight="1" x14ac:dyDescent="0.2">
      <c r="A1712" s="4" t="s">
        <v>368</v>
      </c>
      <c r="B1712" s="4" t="s">
        <v>1015</v>
      </c>
      <c r="C1712" s="4" t="str">
        <f ca="1">IFERROR(__xludf.DUMMYFUNCTION("ARRAY_CONSTRAIN(ARRAYFORMULA(SINGLE(TEXTJOIN(""_"",TRUE,D1712,G1712))), 1, 1)"),"State Policy Network_2005")</f>
        <v>State Policy Network_2005</v>
      </c>
      <c r="D1712" s="4" t="s">
        <v>46</v>
      </c>
      <c r="E1712" s="4" t="s">
        <v>303</v>
      </c>
      <c r="F1712" s="6">
        <v>4500</v>
      </c>
      <c r="G1712" s="4">
        <v>2005</v>
      </c>
    </row>
    <row r="1713" spans="1:9" ht="15" customHeight="1" x14ac:dyDescent="0.2">
      <c r="A1713" s="4" t="s">
        <v>368</v>
      </c>
      <c r="B1713" s="4" t="s">
        <v>1016</v>
      </c>
      <c r="C1713" s="4" t="str">
        <f ca="1">IFERROR(__xludf.DUMMYFUNCTION("ARRAY_CONSTRAIN(ARRAYFORMULA(SINGLE(TEXTJOIN(""_"",TRUE,D1713,G1713))), 1, 1)"),"State Policy Network_2005")</f>
        <v>State Policy Network_2005</v>
      </c>
      <c r="D1713" s="4" t="s">
        <v>46</v>
      </c>
      <c r="E1713" s="4" t="s">
        <v>308</v>
      </c>
      <c r="F1713" s="6">
        <v>7500</v>
      </c>
      <c r="G1713" s="4">
        <v>2005</v>
      </c>
    </row>
    <row r="1714" spans="1:9" ht="15" customHeight="1" x14ac:dyDescent="0.2">
      <c r="A1714" s="4" t="s">
        <v>368</v>
      </c>
      <c r="B1714" s="4" t="s">
        <v>1017</v>
      </c>
      <c r="C1714" s="4" t="str">
        <f ca="1">IFERROR(__xludf.DUMMYFUNCTION("ARRAY_CONSTRAIN(ARRAYFORMULA(SINGLE(TEXTJOIN(""_"",TRUE,D1714,G1714))), 1, 1)"),"State Policy Network_2005")</f>
        <v>State Policy Network_2005</v>
      </c>
      <c r="D1714" s="4" t="s">
        <v>46</v>
      </c>
      <c r="E1714" s="4" t="s">
        <v>312</v>
      </c>
      <c r="F1714" s="6">
        <v>7500</v>
      </c>
      <c r="G1714" s="4">
        <v>2005</v>
      </c>
    </row>
    <row r="1715" spans="1:9" ht="15" customHeight="1" x14ac:dyDescent="0.2">
      <c r="A1715" s="4" t="s">
        <v>368</v>
      </c>
      <c r="B1715" s="4" t="s">
        <v>1018</v>
      </c>
      <c r="C1715" s="4" t="str">
        <f ca="1">IFERROR(__xludf.DUMMYFUNCTION("ARRAY_CONSTRAIN(ARRAYFORMULA(SINGLE(TEXTJOIN(""_"",TRUE,D1715,G1715))), 1, 1)"),"State Policy Network_2005")</f>
        <v>State Policy Network_2005</v>
      </c>
      <c r="D1715" s="4" t="s">
        <v>46</v>
      </c>
      <c r="E1715" s="4" t="s">
        <v>1019</v>
      </c>
      <c r="F1715" s="6">
        <v>50000</v>
      </c>
      <c r="G1715" s="4">
        <v>2005</v>
      </c>
    </row>
    <row r="1716" spans="1:9" ht="15" customHeight="1" x14ac:dyDescent="0.2">
      <c r="A1716" s="4" t="s">
        <v>368</v>
      </c>
      <c r="B1716" s="4" t="s">
        <v>1020</v>
      </c>
      <c r="C1716" s="4" t="str">
        <f ca="1">IFERROR(__xludf.DUMMYFUNCTION("ARRAY_CONSTRAIN(ARRAYFORMULA(SINGLE(TEXTJOIN(""_"",TRUE,D1716,G1716))), 1, 1)"),"State Policy Network_2005")</f>
        <v>State Policy Network_2005</v>
      </c>
      <c r="D1716" s="4" t="s">
        <v>46</v>
      </c>
      <c r="E1716" s="4" t="s">
        <v>334</v>
      </c>
      <c r="F1716" s="6">
        <v>7500</v>
      </c>
      <c r="G1716" s="4">
        <v>2005</v>
      </c>
      <c r="I1716" s="4" t="s">
        <v>751</v>
      </c>
    </row>
    <row r="1717" spans="1:9" ht="15" customHeight="1" x14ac:dyDescent="0.2">
      <c r="A1717" s="4" t="s">
        <v>368</v>
      </c>
      <c r="B1717" s="4" t="s">
        <v>1021</v>
      </c>
      <c r="C1717" s="4" t="str">
        <f ca="1">IFERROR(__xludf.DUMMYFUNCTION("ARRAY_CONSTRAIN(ARRAYFORMULA(SINGLE(TEXTJOIN(""_"",TRUE,D1717,G1717))), 1, 1)"),"State Policy Network_2005")</f>
        <v>State Policy Network_2005</v>
      </c>
      <c r="D1717" s="4" t="s">
        <v>46</v>
      </c>
      <c r="E1717" s="4" t="s">
        <v>342</v>
      </c>
      <c r="F1717" s="6">
        <v>3000</v>
      </c>
      <c r="G1717" s="4">
        <v>2005</v>
      </c>
    </row>
    <row r="1718" spans="1:9" ht="15" customHeight="1" x14ac:dyDescent="0.2">
      <c r="A1718" s="4" t="s">
        <v>368</v>
      </c>
      <c r="B1718" s="4" t="s">
        <v>1022</v>
      </c>
      <c r="C1718" s="4" t="str">
        <f ca="1">IFERROR(__xludf.DUMMYFUNCTION("ARRAY_CONSTRAIN(ARRAYFORMULA(SINGLE(TEXTJOIN(""_"",TRUE,D1718,G1718))), 1, 1)"),"State Policy Network_2002")</f>
        <v>State Policy Network_2002</v>
      </c>
      <c r="D1718" s="4" t="s">
        <v>46</v>
      </c>
      <c r="E1718" s="4" t="s">
        <v>256</v>
      </c>
      <c r="F1718" s="6">
        <v>12500</v>
      </c>
      <c r="G1718" s="4">
        <v>2002</v>
      </c>
    </row>
    <row r="1719" spans="1:9" ht="15" customHeight="1" x14ac:dyDescent="0.2">
      <c r="A1719" s="4" t="s">
        <v>368</v>
      </c>
      <c r="B1719" s="4" t="s">
        <v>1023</v>
      </c>
      <c r="C1719" s="4" t="str">
        <f ca="1">IFERROR(__xludf.DUMMYFUNCTION("ARRAY_CONSTRAIN(ARRAYFORMULA(SINGLE(TEXTJOIN(""_"",TRUE,D1719,G1719))), 1, 1)"),"State Policy Network_2002")</f>
        <v>State Policy Network_2002</v>
      </c>
      <c r="D1719" s="4" t="s">
        <v>46</v>
      </c>
      <c r="E1719" s="4" t="s">
        <v>262</v>
      </c>
      <c r="F1719" s="6">
        <v>7500</v>
      </c>
      <c r="G1719" s="4">
        <v>2002</v>
      </c>
    </row>
    <row r="1720" spans="1:9" ht="15" customHeight="1" x14ac:dyDescent="0.2">
      <c r="A1720" s="4" t="s">
        <v>368</v>
      </c>
      <c r="B1720" s="4" t="s">
        <v>1024</v>
      </c>
      <c r="C1720" s="4" t="str">
        <f ca="1">IFERROR(__xludf.DUMMYFUNCTION("ARRAY_CONSTRAIN(ARRAYFORMULA(SINGLE(TEXTJOIN(""_"",TRUE,D1720,G1720))), 1, 1)"),"State Policy Network_2002")</f>
        <v>State Policy Network_2002</v>
      </c>
      <c r="D1720" s="4" t="s">
        <v>46</v>
      </c>
      <c r="E1720" s="4" t="s">
        <v>268</v>
      </c>
      <c r="F1720" s="6">
        <v>5000</v>
      </c>
      <c r="G1720" s="4">
        <v>2002</v>
      </c>
    </row>
    <row r="1721" spans="1:9" ht="15" customHeight="1" x14ac:dyDescent="0.2">
      <c r="A1721" s="4" t="s">
        <v>368</v>
      </c>
      <c r="B1721" s="4" t="s">
        <v>1025</v>
      </c>
      <c r="C1721" s="4" t="str">
        <f ca="1">IFERROR(__xludf.DUMMYFUNCTION("ARRAY_CONSTRAIN(ARRAYFORMULA(SINGLE(TEXTJOIN(""_"",TRUE,D1721,G1721))), 1, 1)"),"State Policy Network_2002")</f>
        <v>State Policy Network_2002</v>
      </c>
      <c r="D1721" s="4" t="s">
        <v>46</v>
      </c>
      <c r="E1721" s="4" t="s">
        <v>282</v>
      </c>
      <c r="F1721" s="6">
        <v>2500</v>
      </c>
      <c r="G1721" s="4">
        <v>2002</v>
      </c>
    </row>
    <row r="1722" spans="1:9" ht="15" customHeight="1" x14ac:dyDescent="0.2">
      <c r="A1722" s="4" t="s">
        <v>368</v>
      </c>
      <c r="B1722" s="4" t="s">
        <v>1026</v>
      </c>
      <c r="C1722" s="4" t="str">
        <f ca="1">IFERROR(__xludf.DUMMYFUNCTION("ARRAY_CONSTRAIN(ARRAYFORMULA(SINGLE(TEXTJOIN(""_"",TRUE,D1722,G1722))), 1, 1)"),"State Policy Network_2002")</f>
        <v>State Policy Network_2002</v>
      </c>
      <c r="D1722" s="4" t="s">
        <v>46</v>
      </c>
      <c r="E1722" s="4" t="s">
        <v>287</v>
      </c>
      <c r="F1722" s="6">
        <v>5000</v>
      </c>
      <c r="G1722" s="4">
        <v>2002</v>
      </c>
    </row>
    <row r="1723" spans="1:9" ht="15" customHeight="1" x14ac:dyDescent="0.2">
      <c r="A1723" s="4" t="s">
        <v>368</v>
      </c>
      <c r="B1723" s="4" t="s">
        <v>1027</v>
      </c>
      <c r="C1723" s="4" t="str">
        <f ca="1">IFERROR(__xludf.DUMMYFUNCTION("ARRAY_CONSTRAIN(ARRAYFORMULA(SINGLE(TEXTJOIN(""_"",TRUE,D1723,G1723))), 1, 1)"),"State Policy Network_2002")</f>
        <v>State Policy Network_2002</v>
      </c>
      <c r="D1723" s="4" t="s">
        <v>46</v>
      </c>
      <c r="E1723" s="4" t="s">
        <v>287</v>
      </c>
      <c r="F1723" s="6">
        <v>7500</v>
      </c>
      <c r="G1723" s="4">
        <v>2002</v>
      </c>
    </row>
    <row r="1724" spans="1:9" ht="15" customHeight="1" x14ac:dyDescent="0.2">
      <c r="A1724" s="4" t="s">
        <v>368</v>
      </c>
      <c r="B1724" s="4" t="s">
        <v>1028</v>
      </c>
      <c r="C1724" s="4" t="str">
        <f ca="1">IFERROR(__xludf.DUMMYFUNCTION("ARRAY_CONSTRAIN(ARRAYFORMULA(SINGLE(TEXTJOIN(""_"",TRUE,D1724,G1724))), 1, 1)"),"State Policy Network_2002")</f>
        <v>State Policy Network_2002</v>
      </c>
      <c r="D1724" s="4" t="s">
        <v>46</v>
      </c>
      <c r="E1724" s="4" t="s">
        <v>291</v>
      </c>
      <c r="F1724" s="6">
        <v>2500</v>
      </c>
      <c r="G1724" s="4">
        <v>2002</v>
      </c>
    </row>
    <row r="1725" spans="1:9" ht="15" customHeight="1" x14ac:dyDescent="0.2">
      <c r="A1725" s="4" t="s">
        <v>368</v>
      </c>
      <c r="B1725" s="4" t="s">
        <v>1029</v>
      </c>
      <c r="C1725" s="4" t="str">
        <f ca="1">IFERROR(__xludf.DUMMYFUNCTION("ARRAY_CONSTRAIN(ARRAYFORMULA(SINGLE(TEXTJOIN(""_"",TRUE,D1725,G1725))), 1, 1)"),"State Policy Network_2002")</f>
        <v>State Policy Network_2002</v>
      </c>
      <c r="D1725" s="4" t="s">
        <v>46</v>
      </c>
      <c r="E1725" s="4" t="s">
        <v>308</v>
      </c>
      <c r="F1725" s="6">
        <v>5000</v>
      </c>
      <c r="G1725" s="4">
        <v>2002</v>
      </c>
    </row>
    <row r="1726" spans="1:9" ht="15" customHeight="1" x14ac:dyDescent="0.2">
      <c r="A1726" s="4" t="s">
        <v>368</v>
      </c>
      <c r="B1726" s="4" t="s">
        <v>1030</v>
      </c>
      <c r="C1726" s="4" t="str">
        <f ca="1">IFERROR(__xludf.DUMMYFUNCTION("ARRAY_CONSTRAIN(ARRAYFORMULA(SINGLE(TEXTJOIN(""_"",TRUE,D1726,G1726))), 1, 1)"),"State Policy Network_2002")</f>
        <v>State Policy Network_2002</v>
      </c>
      <c r="D1726" s="4" t="s">
        <v>46</v>
      </c>
      <c r="E1726" s="4" t="s">
        <v>327</v>
      </c>
      <c r="F1726" s="6">
        <v>6250</v>
      </c>
      <c r="G1726" s="4">
        <v>2002</v>
      </c>
    </row>
    <row r="1727" spans="1:9" ht="15" customHeight="1" x14ac:dyDescent="0.2">
      <c r="A1727" s="4" t="s">
        <v>368</v>
      </c>
      <c r="B1727" s="4" t="s">
        <v>1031</v>
      </c>
      <c r="C1727" s="4" t="str">
        <f ca="1">IFERROR(__xludf.DUMMYFUNCTION("ARRAY_CONSTRAIN(ARRAYFORMULA(SINGLE(TEXTJOIN(""_"",TRUE,D1727,G1727))), 1, 1)"),"State Policy Network_2002")</f>
        <v>State Policy Network_2002</v>
      </c>
      <c r="D1727" s="4" t="s">
        <v>46</v>
      </c>
      <c r="E1727" s="4" t="s">
        <v>331</v>
      </c>
      <c r="F1727" s="6">
        <v>5000</v>
      </c>
      <c r="G1727" s="4">
        <v>2002</v>
      </c>
    </row>
    <row r="1728" spans="1:9" ht="15" customHeight="1" x14ac:dyDescent="0.2">
      <c r="A1728" s="4" t="s">
        <v>368</v>
      </c>
      <c r="B1728" s="4" t="s">
        <v>1032</v>
      </c>
      <c r="C1728" s="4" t="str">
        <f ca="1">IFERROR(__xludf.DUMMYFUNCTION("ARRAY_CONSTRAIN(ARRAYFORMULA(SINGLE(TEXTJOIN(""_"",TRUE,D1728,G1728))), 1, 1)"),"State Policy Network_2002")</f>
        <v>State Policy Network_2002</v>
      </c>
      <c r="D1728" s="4" t="s">
        <v>46</v>
      </c>
      <c r="E1728" s="4" t="s">
        <v>331</v>
      </c>
      <c r="F1728" s="6">
        <v>7000</v>
      </c>
      <c r="G1728" s="4">
        <v>2002</v>
      </c>
    </row>
    <row r="1729" spans="1:9" ht="15" customHeight="1" x14ac:dyDescent="0.2">
      <c r="A1729" s="4" t="s">
        <v>368</v>
      </c>
      <c r="B1729" s="4" t="s">
        <v>1033</v>
      </c>
      <c r="C1729" s="4" t="str">
        <f ca="1">IFERROR(__xludf.DUMMYFUNCTION("ARRAY_CONSTRAIN(ARRAYFORMULA(SINGLE(TEXTJOIN(""_"",TRUE,D1729,G1729))), 1, 1)"),"State Policy Network_2002")</f>
        <v>State Policy Network_2002</v>
      </c>
      <c r="D1729" s="4" t="s">
        <v>46</v>
      </c>
      <c r="E1729" s="4" t="s">
        <v>334</v>
      </c>
      <c r="F1729" s="6">
        <v>5000</v>
      </c>
      <c r="G1729" s="4">
        <v>2002</v>
      </c>
      <c r="I1729" s="4" t="s">
        <v>751</v>
      </c>
    </row>
    <row r="1730" spans="1:9" ht="15" customHeight="1" x14ac:dyDescent="0.2">
      <c r="A1730" s="4" t="s">
        <v>368</v>
      </c>
      <c r="B1730" s="4" t="s">
        <v>1034</v>
      </c>
      <c r="C1730" s="4" t="str">
        <f ca="1">IFERROR(__xludf.DUMMYFUNCTION("ARRAY_CONSTRAIN(ARRAYFORMULA(SINGLE(TEXTJOIN(""_"",TRUE,D1730,G1730))), 1, 1)"),"State Policy Network_2002")</f>
        <v>State Policy Network_2002</v>
      </c>
      <c r="D1730" s="4" t="s">
        <v>46</v>
      </c>
      <c r="E1730" s="4" t="s">
        <v>344</v>
      </c>
      <c r="F1730" s="6">
        <v>7200</v>
      </c>
      <c r="G1730" s="4">
        <v>2002</v>
      </c>
    </row>
    <row r="1731" spans="1:9" ht="15" customHeight="1" x14ac:dyDescent="0.2">
      <c r="A1731" s="4" t="s">
        <v>368</v>
      </c>
      <c r="B1731" s="4" t="s">
        <v>1035</v>
      </c>
      <c r="C1731" s="4" t="str">
        <f ca="1">IFERROR(__xludf.DUMMYFUNCTION("ARRAY_CONSTRAIN(ARRAYFORMULA(SINGLE(TEXTJOIN(""_"",TRUE,D1731,G1731))), 1, 1)"),"State Policy Network_2002")</f>
        <v>State Policy Network_2002</v>
      </c>
      <c r="D1731" s="4" t="s">
        <v>46</v>
      </c>
      <c r="E1731" s="4" t="s">
        <v>348</v>
      </c>
      <c r="F1731" s="6">
        <v>18500</v>
      </c>
      <c r="G1731" s="4">
        <v>2002</v>
      </c>
    </row>
    <row r="1732" spans="1:9" ht="15" customHeight="1" x14ac:dyDescent="0.2">
      <c r="A1732" s="4" t="s">
        <v>368</v>
      </c>
      <c r="B1732" s="4" t="s">
        <v>1036</v>
      </c>
      <c r="C1732" s="4" t="str">
        <f ca="1">IFERROR(__xludf.DUMMYFUNCTION("ARRAY_CONSTRAIN(ARRAYFORMULA(SINGLE(TEXTJOIN(""_"",TRUE,D1732,G1732))), 1, 1)"),"State Policy Network_2002")</f>
        <v>State Policy Network_2002</v>
      </c>
      <c r="D1732" s="4" t="s">
        <v>46</v>
      </c>
      <c r="E1732" s="4" t="s">
        <v>351</v>
      </c>
      <c r="F1732" s="6">
        <v>7500</v>
      </c>
      <c r="G1732" s="4">
        <v>2002</v>
      </c>
    </row>
    <row r="1733" spans="1:9" ht="15" customHeight="1" x14ac:dyDescent="0.2">
      <c r="A1733" s="5" t="s">
        <v>1037</v>
      </c>
      <c r="B1733" s="4" t="str">
        <f t="shared" ref="B1733:B1853" si="6">D1733&amp;"_"&amp;E1733&amp;G1733&amp;F1733</f>
        <v>Stone Barrett Foundation_State Policy Network20151000</v>
      </c>
      <c r="C1733" s="4" t="str">
        <f ca="1">IFERROR(__xludf.DUMMYFUNCTION("ARRAY_CONSTRAIN(ARRAYFORMULA(SINGLE(TEXTJOIN(""_"",TRUE,D1733,G1733))), 1, 1)"),"Stone Barrett Foundation_2015")</f>
        <v>Stone Barrett Foundation_2015</v>
      </c>
      <c r="D1733" s="4" t="s">
        <v>164</v>
      </c>
      <c r="E1733" s="8" t="s">
        <v>46</v>
      </c>
      <c r="F1733" s="6">
        <v>1000</v>
      </c>
      <c r="G1733" s="4">
        <v>2015</v>
      </c>
      <c r="H1733" s="4" t="s">
        <v>361</v>
      </c>
    </row>
    <row r="1734" spans="1:9" ht="15" customHeight="1" x14ac:dyDescent="0.2">
      <c r="A1734" s="5" t="s">
        <v>1038</v>
      </c>
      <c r="B1734" s="4" t="str">
        <f t="shared" si="6"/>
        <v>Stone Barrett Foundation_State Policy Network2014500</v>
      </c>
      <c r="C1734" s="4" t="str">
        <f ca="1">IFERROR(__xludf.DUMMYFUNCTION("ARRAY_CONSTRAIN(ARRAYFORMULA(SINGLE(TEXTJOIN(""_"",TRUE,D1734,G1734))), 1, 1)"),"Stone Barrett Foundation_2014")</f>
        <v>Stone Barrett Foundation_2014</v>
      </c>
      <c r="D1734" s="4" t="s">
        <v>164</v>
      </c>
      <c r="E1734" s="8" t="s">
        <v>46</v>
      </c>
      <c r="F1734" s="6">
        <v>500</v>
      </c>
      <c r="G1734" s="4">
        <v>2014</v>
      </c>
      <c r="H1734" s="4" t="s">
        <v>361</v>
      </c>
    </row>
    <row r="1735" spans="1:9" ht="15" customHeight="1" x14ac:dyDescent="0.2">
      <c r="A1735" s="5" t="s">
        <v>1039</v>
      </c>
      <c r="B1735" s="4" t="str">
        <f t="shared" si="6"/>
        <v>Stone Barrett Foundation_State Policy Network2013250</v>
      </c>
      <c r="C1735" s="4" t="str">
        <f ca="1">IFERROR(__xludf.DUMMYFUNCTION("ARRAY_CONSTRAIN(ARRAYFORMULA(SINGLE(TEXTJOIN(""_"",TRUE,D1735,G1735))), 1, 1)"),"Stone Barrett Foundation_2013")</f>
        <v>Stone Barrett Foundation_2013</v>
      </c>
      <c r="D1735" s="4" t="s">
        <v>164</v>
      </c>
      <c r="E1735" s="8" t="s">
        <v>46</v>
      </c>
      <c r="F1735" s="6">
        <v>250</v>
      </c>
      <c r="G1735" s="4">
        <v>2013</v>
      </c>
      <c r="H1735" s="4" t="s">
        <v>361</v>
      </c>
    </row>
    <row r="1736" spans="1:9" ht="15" customHeight="1" x14ac:dyDescent="0.2">
      <c r="A1736" s="5" t="s">
        <v>1040</v>
      </c>
      <c r="B1736" s="4" t="str">
        <f t="shared" si="6"/>
        <v>Stone Barrett Foundation_State Policy Network2012100</v>
      </c>
      <c r="C1736" s="4" t="str">
        <f ca="1">IFERROR(__xludf.DUMMYFUNCTION("ARRAY_CONSTRAIN(ARRAYFORMULA(SINGLE(TEXTJOIN(""_"",TRUE,D1736,G1736))), 1, 1)"),"Stone Barrett Foundation_2012")</f>
        <v>Stone Barrett Foundation_2012</v>
      </c>
      <c r="D1736" s="4" t="s">
        <v>164</v>
      </c>
      <c r="E1736" s="8" t="s">
        <v>46</v>
      </c>
      <c r="F1736" s="6">
        <v>100</v>
      </c>
      <c r="G1736" s="4">
        <v>2012</v>
      </c>
      <c r="H1736" s="4" t="s">
        <v>361</v>
      </c>
    </row>
    <row r="1737" spans="1:9" ht="15" customHeight="1" x14ac:dyDescent="0.2">
      <c r="A1737" s="5" t="s">
        <v>1041</v>
      </c>
      <c r="B1737" s="4" t="str">
        <f t="shared" si="6"/>
        <v>Stone Barrett Foundation_State Policy Network2011100</v>
      </c>
      <c r="C1737" s="4" t="str">
        <f ca="1">IFERROR(__xludf.DUMMYFUNCTION("ARRAY_CONSTRAIN(ARRAYFORMULA(SINGLE(TEXTJOIN(""_"",TRUE,D1737,G1737))), 1, 1)"),"Stone Barrett Foundation_2011")</f>
        <v>Stone Barrett Foundation_2011</v>
      </c>
      <c r="D1737" s="4" t="s">
        <v>164</v>
      </c>
      <c r="E1737" s="8" t="s">
        <v>46</v>
      </c>
      <c r="F1737" s="6">
        <v>100</v>
      </c>
      <c r="G1737" s="4">
        <v>2011</v>
      </c>
      <c r="H1737" s="4" t="s">
        <v>361</v>
      </c>
    </row>
    <row r="1738" spans="1:9" ht="15" customHeight="1" x14ac:dyDescent="0.2">
      <c r="A1738" s="5" t="s">
        <v>1042</v>
      </c>
      <c r="B1738" s="4" t="str">
        <f t="shared" si="6"/>
        <v>Stone Barrett Foundation_State Policy Network2010100</v>
      </c>
      <c r="C1738" s="4" t="str">
        <f ca="1">IFERROR(__xludf.DUMMYFUNCTION("ARRAY_CONSTRAIN(ARRAYFORMULA(SINGLE(TEXTJOIN(""_"",TRUE,D1738,G1738))), 1, 1)"),"Stone Barrett Foundation_2010")</f>
        <v>Stone Barrett Foundation_2010</v>
      </c>
      <c r="D1738" s="4" t="s">
        <v>164</v>
      </c>
      <c r="E1738" s="8" t="s">
        <v>46</v>
      </c>
      <c r="F1738" s="6">
        <v>100</v>
      </c>
      <c r="G1738" s="4">
        <v>2010</v>
      </c>
      <c r="H1738" s="4" t="s">
        <v>361</v>
      </c>
    </row>
    <row r="1739" spans="1:9" ht="15" customHeight="1" x14ac:dyDescent="0.2">
      <c r="A1739" s="5" t="s">
        <v>1043</v>
      </c>
      <c r="B1739" s="4" t="str">
        <f t="shared" si="6"/>
        <v>Strauss Foundation Incorporated_State Policy Network2022250</v>
      </c>
      <c r="C1739" s="4" t="str">
        <f ca="1">IFERROR(__xludf.DUMMYFUNCTION("ARRAY_CONSTRAIN(ARRAYFORMULA(SINGLE(TEXTJOIN(""_"",TRUE,D1739,G1739))), 1, 1)"),"Strauss Foundation Incorporated_2022")</f>
        <v>Strauss Foundation Incorporated_2022</v>
      </c>
      <c r="D1739" s="4" t="s">
        <v>210</v>
      </c>
      <c r="E1739" s="8" t="s">
        <v>46</v>
      </c>
      <c r="F1739" s="6">
        <v>250</v>
      </c>
      <c r="G1739" s="4">
        <v>2022</v>
      </c>
      <c r="H1739" s="4" t="s">
        <v>361</v>
      </c>
    </row>
    <row r="1740" spans="1:9" ht="15" customHeight="1" x14ac:dyDescent="0.2">
      <c r="A1740" s="4">
        <v>990</v>
      </c>
      <c r="B1740" s="4" t="str">
        <f t="shared" si="6"/>
        <v>Sunmark Foundation_State Policy Network200610000</v>
      </c>
      <c r="C1740" s="4" t="str">
        <f ca="1">IFERROR(__xludf.DUMMYFUNCTION("ARRAY_CONSTRAIN(ARRAYFORMULA(SINGLE(TEXTJOIN(""_"",TRUE,D1740,G1740))), 1, 1)"),"Sunmark Foundation_2006")</f>
        <v>Sunmark Foundation_2006</v>
      </c>
      <c r="D1740" s="4" t="s">
        <v>105</v>
      </c>
      <c r="E1740" s="8" t="s">
        <v>46</v>
      </c>
      <c r="F1740" s="6">
        <v>10000</v>
      </c>
      <c r="G1740" s="4">
        <v>2006</v>
      </c>
      <c r="H1740" s="4" t="s">
        <v>361</v>
      </c>
    </row>
    <row r="1741" spans="1:9" ht="15" customHeight="1" x14ac:dyDescent="0.2">
      <c r="A1741" s="4">
        <v>990</v>
      </c>
      <c r="B1741" s="4" t="str">
        <f t="shared" si="6"/>
        <v>Sunmark Foundation_State Policy Network20047500</v>
      </c>
      <c r="C1741" s="4" t="str">
        <f ca="1">IFERROR(__xludf.DUMMYFUNCTION("ARRAY_CONSTRAIN(ARRAYFORMULA(SINGLE(TEXTJOIN(""_"",TRUE,D1741,G1741))), 1, 1)"),"Sunmark Foundation_2004")</f>
        <v>Sunmark Foundation_2004</v>
      </c>
      <c r="D1741" s="4" t="s">
        <v>105</v>
      </c>
      <c r="E1741" s="8" t="s">
        <v>46</v>
      </c>
      <c r="F1741" s="6">
        <v>7500</v>
      </c>
      <c r="G1741" s="4">
        <v>2004</v>
      </c>
      <c r="H1741" s="4" t="s">
        <v>361</v>
      </c>
    </row>
    <row r="1742" spans="1:9" ht="15" customHeight="1" x14ac:dyDescent="0.2">
      <c r="A1742" s="5" t="s">
        <v>1044</v>
      </c>
      <c r="B1742" s="4" t="str">
        <f t="shared" si="6"/>
        <v>Susquehanna Foundation_State Policy Network20171000</v>
      </c>
      <c r="C1742" s="4" t="str">
        <f ca="1">IFERROR(__xludf.DUMMYFUNCTION("ARRAY_CONSTRAIN(ARRAYFORMULA(SINGLE(TEXTJOIN(""_"",TRUE,D1742,G1742))), 1, 1)"),"Susquehanna Foundation_2017")</f>
        <v>Susquehanna Foundation_2017</v>
      </c>
      <c r="D1742" s="4" t="s">
        <v>175</v>
      </c>
      <c r="E1742" s="8" t="s">
        <v>46</v>
      </c>
      <c r="F1742" s="6">
        <v>1000</v>
      </c>
      <c r="G1742" s="4">
        <v>2017</v>
      </c>
      <c r="H1742" s="4" t="s">
        <v>361</v>
      </c>
    </row>
    <row r="1743" spans="1:9" ht="15" customHeight="1" x14ac:dyDescent="0.2">
      <c r="A1743" s="5" t="s">
        <v>1045</v>
      </c>
      <c r="B1743" s="4" t="str">
        <f t="shared" si="6"/>
        <v>Sutton Family Foundation_State Policy Network20223000</v>
      </c>
      <c r="C1743" s="4" t="str">
        <f ca="1">IFERROR(__xludf.DUMMYFUNCTION("ARRAY_CONSTRAIN(ARRAYFORMULA(SINGLE(TEXTJOIN(""_"",TRUE,D1743,G1743))), 1, 1)"),"Sutton Family Foundation_2022")</f>
        <v>Sutton Family Foundation_2022</v>
      </c>
      <c r="D1743" s="4" t="s">
        <v>122</v>
      </c>
      <c r="E1743" s="8" t="s">
        <v>46</v>
      </c>
      <c r="F1743" s="6">
        <v>3000</v>
      </c>
      <c r="G1743" s="4">
        <v>2022</v>
      </c>
      <c r="H1743" s="4" t="s">
        <v>361</v>
      </c>
    </row>
    <row r="1744" spans="1:9" ht="15" customHeight="1" x14ac:dyDescent="0.2">
      <c r="A1744" s="5" t="s">
        <v>1046</v>
      </c>
      <c r="B1744" s="4" t="str">
        <f t="shared" si="6"/>
        <v>Sutton Family Foundation_State Policy Network20213000</v>
      </c>
      <c r="C1744" s="4" t="str">
        <f ca="1">IFERROR(__xludf.DUMMYFUNCTION("ARRAY_CONSTRAIN(ARRAYFORMULA(SINGLE(TEXTJOIN(""_"",TRUE,D1744,G1744))), 1, 1)"),"Sutton Family Foundation_2021")</f>
        <v>Sutton Family Foundation_2021</v>
      </c>
      <c r="D1744" s="4" t="s">
        <v>122</v>
      </c>
      <c r="E1744" s="8" t="s">
        <v>46</v>
      </c>
      <c r="F1744" s="6">
        <v>3000</v>
      </c>
      <c r="G1744" s="4">
        <v>2021</v>
      </c>
      <c r="H1744" s="4" t="s">
        <v>361</v>
      </c>
    </row>
    <row r="1745" spans="1:8" ht="15" customHeight="1" x14ac:dyDescent="0.2">
      <c r="A1745" s="5" t="s">
        <v>1047</v>
      </c>
      <c r="B1745" s="4" t="str">
        <f t="shared" si="6"/>
        <v>Sutton Family Foundation_State Policy Network20203000</v>
      </c>
      <c r="C1745" s="4" t="str">
        <f ca="1">IFERROR(__xludf.DUMMYFUNCTION("ARRAY_CONSTRAIN(ARRAYFORMULA(SINGLE(TEXTJOIN(""_"",TRUE,D1745,G1745))), 1, 1)"),"Sutton Family Foundation_2020")</f>
        <v>Sutton Family Foundation_2020</v>
      </c>
      <c r="D1745" s="4" t="s">
        <v>122</v>
      </c>
      <c r="E1745" s="8" t="s">
        <v>46</v>
      </c>
      <c r="F1745" s="6">
        <v>3000</v>
      </c>
      <c r="G1745" s="4">
        <v>2020</v>
      </c>
      <c r="H1745" s="4" t="s">
        <v>361</v>
      </c>
    </row>
    <row r="1746" spans="1:8" ht="15" customHeight="1" x14ac:dyDescent="0.2">
      <c r="A1746" s="5" t="s">
        <v>1048</v>
      </c>
      <c r="B1746" s="4" t="str">
        <f t="shared" si="6"/>
        <v>Sutton Family Foundation_State Policy Network20192000</v>
      </c>
      <c r="C1746" s="4" t="str">
        <f ca="1">IFERROR(__xludf.DUMMYFUNCTION("ARRAY_CONSTRAIN(ARRAYFORMULA(SINGLE(TEXTJOIN(""_"",TRUE,D1746,G1746))), 1, 1)"),"Sutton Family Foundation_2019")</f>
        <v>Sutton Family Foundation_2019</v>
      </c>
      <c r="D1746" s="4" t="s">
        <v>122</v>
      </c>
      <c r="E1746" s="8" t="s">
        <v>46</v>
      </c>
      <c r="F1746" s="6">
        <v>2000</v>
      </c>
      <c r="G1746" s="4">
        <v>2019</v>
      </c>
      <c r="H1746" s="4" t="s">
        <v>361</v>
      </c>
    </row>
    <row r="1747" spans="1:8" ht="15" customHeight="1" x14ac:dyDescent="0.2">
      <c r="A1747" s="4">
        <v>990</v>
      </c>
      <c r="B1747" s="4" t="str">
        <f t="shared" si="6"/>
        <v>Tepper Family Foundation_State Policy Network20213000</v>
      </c>
      <c r="C1747" s="4" t="str">
        <f ca="1">IFERROR(__xludf.DUMMYFUNCTION("ARRAY_CONSTRAIN(ARRAYFORMULA(SINGLE(TEXTJOIN(""_"",TRUE,D1747,G1747))), 1, 1)"),"Tepper Family Foundation_2021")</f>
        <v>Tepper Family Foundation_2021</v>
      </c>
      <c r="D1747" s="4" t="s">
        <v>120</v>
      </c>
      <c r="E1747" s="8" t="s">
        <v>46</v>
      </c>
      <c r="F1747" s="6">
        <v>3000</v>
      </c>
      <c r="G1747" s="4">
        <v>2021</v>
      </c>
      <c r="H1747" s="4" t="s">
        <v>361</v>
      </c>
    </row>
    <row r="1748" spans="1:8" ht="15" customHeight="1" x14ac:dyDescent="0.2">
      <c r="A1748" s="4">
        <v>990</v>
      </c>
      <c r="B1748" s="4" t="str">
        <f t="shared" si="6"/>
        <v>Tepper Family Foundation_State Policy Network20202000</v>
      </c>
      <c r="C1748" s="4" t="str">
        <f ca="1">IFERROR(__xludf.DUMMYFUNCTION("ARRAY_CONSTRAIN(ARRAYFORMULA(SINGLE(TEXTJOIN(""_"",TRUE,D1748,G1748))), 1, 1)"),"Tepper Family Foundation_2020")</f>
        <v>Tepper Family Foundation_2020</v>
      </c>
      <c r="D1748" s="4" t="s">
        <v>120</v>
      </c>
      <c r="E1748" s="8" t="s">
        <v>46</v>
      </c>
      <c r="F1748" s="6">
        <v>2000</v>
      </c>
      <c r="G1748" s="4">
        <v>2020</v>
      </c>
      <c r="H1748" s="4" t="s">
        <v>361</v>
      </c>
    </row>
    <row r="1749" spans="1:8" ht="15" customHeight="1" x14ac:dyDescent="0.2">
      <c r="A1749" s="4">
        <v>990</v>
      </c>
      <c r="B1749" s="4" t="str">
        <f t="shared" si="6"/>
        <v>Tepper Family Foundation_State Policy Network20172000</v>
      </c>
      <c r="C1749" s="4" t="str">
        <f ca="1">IFERROR(__xludf.DUMMYFUNCTION("ARRAY_CONSTRAIN(ARRAYFORMULA(SINGLE(TEXTJOIN(""_"",TRUE,D1749,G1749))), 1, 1)"),"Tepper Family Foundation_2017")</f>
        <v>Tepper Family Foundation_2017</v>
      </c>
      <c r="D1749" s="4" t="s">
        <v>120</v>
      </c>
      <c r="E1749" s="8" t="s">
        <v>46</v>
      </c>
      <c r="F1749" s="6">
        <v>2000</v>
      </c>
      <c r="G1749" s="4">
        <v>2017</v>
      </c>
      <c r="H1749" s="4" t="s">
        <v>361</v>
      </c>
    </row>
    <row r="1750" spans="1:8" ht="15" customHeight="1" x14ac:dyDescent="0.2">
      <c r="A1750" s="4" t="s">
        <v>368</v>
      </c>
      <c r="B1750" s="4" t="str">
        <f t="shared" si="6"/>
        <v>Tepper Family Foundation_State Policy Network20121000</v>
      </c>
      <c r="C1750" s="4" t="str">
        <f ca="1">IFERROR(__xludf.DUMMYFUNCTION("ARRAY_CONSTRAIN(ARRAYFORMULA(SINGLE(TEXTJOIN(""_"",TRUE,D1750,G1750))), 1, 1)"),"Tepper Family Foundation_2012")</f>
        <v>Tepper Family Foundation_2012</v>
      </c>
      <c r="D1750" s="4" t="s">
        <v>120</v>
      </c>
      <c r="E1750" s="8" t="s">
        <v>46</v>
      </c>
      <c r="F1750" s="6">
        <v>1000</v>
      </c>
      <c r="G1750" s="4">
        <v>2012</v>
      </c>
      <c r="H1750" s="4" t="s">
        <v>359</v>
      </c>
    </row>
    <row r="1751" spans="1:8" ht="15" customHeight="1" x14ac:dyDescent="0.2">
      <c r="A1751" s="4" t="s">
        <v>368</v>
      </c>
      <c r="B1751" s="4" t="str">
        <f t="shared" si="6"/>
        <v>Tepper Family Foundation_State Policy Network20111000</v>
      </c>
      <c r="C1751" s="4" t="str">
        <f ca="1">IFERROR(__xludf.DUMMYFUNCTION("ARRAY_CONSTRAIN(ARRAYFORMULA(SINGLE(TEXTJOIN(""_"",TRUE,D1751,G1751))), 1, 1)"),"Tepper Family Foundation_2011")</f>
        <v>Tepper Family Foundation_2011</v>
      </c>
      <c r="D1751" s="4" t="s">
        <v>120</v>
      </c>
      <c r="E1751" s="8" t="s">
        <v>46</v>
      </c>
      <c r="F1751" s="6">
        <v>1000</v>
      </c>
      <c r="G1751" s="4">
        <v>2011</v>
      </c>
      <c r="H1751" s="4" t="s">
        <v>359</v>
      </c>
    </row>
    <row r="1752" spans="1:8" ht="15" customHeight="1" x14ac:dyDescent="0.2">
      <c r="A1752" s="4" t="s">
        <v>368</v>
      </c>
      <c r="B1752" s="4" t="str">
        <f t="shared" si="6"/>
        <v>Tepper Family Foundation_State Policy Network20101000</v>
      </c>
      <c r="C1752" s="4" t="str">
        <f ca="1">IFERROR(__xludf.DUMMYFUNCTION("ARRAY_CONSTRAIN(ARRAYFORMULA(SINGLE(TEXTJOIN(""_"",TRUE,D1752,G1752))), 1, 1)"),"Tepper Family Foundation_2010")</f>
        <v>Tepper Family Foundation_2010</v>
      </c>
      <c r="D1752" s="4" t="s">
        <v>120</v>
      </c>
      <c r="E1752" s="8" t="s">
        <v>46</v>
      </c>
      <c r="F1752" s="6">
        <v>1000</v>
      </c>
      <c r="G1752" s="4">
        <v>2010</v>
      </c>
      <c r="H1752" s="4" t="s">
        <v>359</v>
      </c>
    </row>
    <row r="1753" spans="1:8" ht="15" customHeight="1" x14ac:dyDescent="0.2">
      <c r="A1753" s="4" t="s">
        <v>368</v>
      </c>
      <c r="B1753" s="4" t="str">
        <f t="shared" si="6"/>
        <v>Tepper Family Foundation_State Policy Network20092000</v>
      </c>
      <c r="C1753" s="4" t="str">
        <f ca="1">IFERROR(__xludf.DUMMYFUNCTION("ARRAY_CONSTRAIN(ARRAYFORMULA(SINGLE(TEXTJOIN(""_"",TRUE,D1753,G1753))), 1, 1)"),"Tepper Family Foundation_2009")</f>
        <v>Tepper Family Foundation_2009</v>
      </c>
      <c r="D1753" s="4" t="s">
        <v>120</v>
      </c>
      <c r="E1753" s="8" t="s">
        <v>46</v>
      </c>
      <c r="F1753" s="6">
        <v>2000</v>
      </c>
      <c r="G1753" s="4">
        <v>2009</v>
      </c>
      <c r="H1753" s="4" t="s">
        <v>359</v>
      </c>
    </row>
    <row r="1754" spans="1:8" ht="15" customHeight="1" x14ac:dyDescent="0.2">
      <c r="A1754" s="4" t="s">
        <v>368</v>
      </c>
      <c r="B1754" s="4" t="str">
        <f t="shared" si="6"/>
        <v>Tepper Family Foundation_State Policy Network20081000</v>
      </c>
      <c r="C1754" s="4" t="str">
        <f ca="1">IFERROR(__xludf.DUMMYFUNCTION("ARRAY_CONSTRAIN(ARRAYFORMULA(SINGLE(TEXTJOIN(""_"",TRUE,D1754,G1754))), 1, 1)"),"Tepper Family Foundation_2008")</f>
        <v>Tepper Family Foundation_2008</v>
      </c>
      <c r="D1754" s="4" t="s">
        <v>120</v>
      </c>
      <c r="E1754" s="8" t="s">
        <v>46</v>
      </c>
      <c r="F1754" s="6">
        <v>1000</v>
      </c>
      <c r="G1754" s="4">
        <v>2008</v>
      </c>
      <c r="H1754" s="4" t="s">
        <v>359</v>
      </c>
    </row>
    <row r="1755" spans="1:8" ht="15" customHeight="1" x14ac:dyDescent="0.2">
      <c r="A1755" s="4" t="s">
        <v>368</v>
      </c>
      <c r="B1755" s="4" t="str">
        <f t="shared" si="6"/>
        <v>Thirteen Foundation_State Policy Network20121526125</v>
      </c>
      <c r="C1755" s="4" t="str">
        <f ca="1">IFERROR(__xludf.DUMMYFUNCTION("ARRAY_CONSTRAIN(ARRAYFORMULA(SINGLE(TEXTJOIN(""_"",TRUE,D1755,G1755))), 1, 1)"),"Thirteen Foundation_2012")</f>
        <v>Thirteen Foundation_2012</v>
      </c>
      <c r="D1755" s="4" t="s">
        <v>17</v>
      </c>
      <c r="E1755" s="8" t="s">
        <v>46</v>
      </c>
      <c r="F1755" s="6">
        <v>1526125</v>
      </c>
      <c r="G1755" s="4">
        <v>2012</v>
      </c>
    </row>
    <row r="1756" spans="1:8" ht="15" customHeight="1" x14ac:dyDescent="0.2">
      <c r="A1756" s="4" t="s">
        <v>368</v>
      </c>
      <c r="B1756" s="4" t="str">
        <f t="shared" si="6"/>
        <v>Thomas B Fordham Foundation_State Policy Network20101000</v>
      </c>
      <c r="C1756" s="4" t="str">
        <f ca="1">IFERROR(__xludf.DUMMYFUNCTION("ARRAY_CONSTRAIN(ARRAYFORMULA(SINGLE(TEXTJOIN(""_"",TRUE,D1756,G1756))), 1, 1)"),"Thomas B Fordham Foundation_2010")</f>
        <v>Thomas B Fordham Foundation_2010</v>
      </c>
      <c r="D1756" s="4" t="s">
        <v>174</v>
      </c>
      <c r="E1756" s="8" t="s">
        <v>46</v>
      </c>
      <c r="F1756" s="6">
        <v>1000</v>
      </c>
      <c r="G1756" s="4">
        <v>2010</v>
      </c>
    </row>
    <row r="1757" spans="1:8" ht="15" customHeight="1" x14ac:dyDescent="0.2">
      <c r="A1757" s="4">
        <v>990</v>
      </c>
      <c r="B1757" s="4" t="str">
        <f t="shared" si="6"/>
        <v>Thomas W Smith Foundation_State Policy Network2021300000</v>
      </c>
      <c r="C1757" s="4" t="str">
        <f ca="1">IFERROR(__xludf.DUMMYFUNCTION("ARRAY_CONSTRAIN(ARRAYFORMULA(SINGLE(TEXTJOIN(""_"",TRUE,D1757,G1757))), 1, 1)"),"Thomas W Smith Foundation_2021")</f>
        <v>Thomas W Smith Foundation_2021</v>
      </c>
      <c r="D1757" s="4" t="s">
        <v>16</v>
      </c>
      <c r="E1757" s="8" t="s">
        <v>46</v>
      </c>
      <c r="F1757" s="6">
        <v>300000</v>
      </c>
      <c r="G1757" s="4">
        <v>2021</v>
      </c>
      <c r="H1757" s="4" t="s">
        <v>361</v>
      </c>
    </row>
    <row r="1758" spans="1:8" ht="15" customHeight="1" x14ac:dyDescent="0.2">
      <c r="A1758" s="4">
        <v>990</v>
      </c>
      <c r="B1758" s="4" t="str">
        <f t="shared" si="6"/>
        <v>Thomas W Smith Foundation_State Policy Network2020300000</v>
      </c>
      <c r="C1758" s="4" t="str">
        <f ca="1">IFERROR(__xludf.DUMMYFUNCTION("ARRAY_CONSTRAIN(ARRAYFORMULA(SINGLE(TEXTJOIN(""_"",TRUE,D1758,G1758))), 1, 1)"),"Thomas W Smith Foundation_2020")</f>
        <v>Thomas W Smith Foundation_2020</v>
      </c>
      <c r="D1758" s="4" t="s">
        <v>16</v>
      </c>
      <c r="E1758" s="8" t="s">
        <v>46</v>
      </c>
      <c r="F1758" s="6">
        <v>300000</v>
      </c>
      <c r="G1758" s="4">
        <v>2020</v>
      </c>
      <c r="H1758" s="4" t="s">
        <v>361</v>
      </c>
    </row>
    <row r="1759" spans="1:8" ht="15" customHeight="1" x14ac:dyDescent="0.2">
      <c r="A1759" s="4">
        <v>990</v>
      </c>
      <c r="B1759" s="4" t="str">
        <f t="shared" si="6"/>
        <v>Thomas W Smith Foundation_State Policy Network2019350000</v>
      </c>
      <c r="C1759" s="4" t="str">
        <f ca="1">IFERROR(__xludf.DUMMYFUNCTION("ARRAY_CONSTRAIN(ARRAYFORMULA(SINGLE(TEXTJOIN(""_"",TRUE,D1759,G1759))), 1, 1)"),"Thomas W Smith Foundation_2019")</f>
        <v>Thomas W Smith Foundation_2019</v>
      </c>
      <c r="D1759" s="4" t="s">
        <v>16</v>
      </c>
      <c r="E1759" s="8" t="s">
        <v>46</v>
      </c>
      <c r="F1759" s="6">
        <v>350000</v>
      </c>
      <c r="G1759" s="4">
        <v>2019</v>
      </c>
      <c r="H1759" s="4" t="s">
        <v>361</v>
      </c>
    </row>
    <row r="1760" spans="1:8" ht="15" customHeight="1" x14ac:dyDescent="0.2">
      <c r="A1760" s="4">
        <v>990</v>
      </c>
      <c r="B1760" s="4" t="str">
        <f t="shared" si="6"/>
        <v>Thomas W Smith Foundation_State Policy Network2018250000</v>
      </c>
      <c r="C1760" s="4" t="str">
        <f ca="1">IFERROR(__xludf.DUMMYFUNCTION("ARRAY_CONSTRAIN(ARRAYFORMULA(SINGLE(TEXTJOIN(""_"",TRUE,D1760,G1760))), 1, 1)"),"Thomas W Smith Foundation_2018")</f>
        <v>Thomas W Smith Foundation_2018</v>
      </c>
      <c r="D1760" s="4" t="s">
        <v>16</v>
      </c>
      <c r="E1760" s="8" t="s">
        <v>46</v>
      </c>
      <c r="F1760" s="6">
        <v>250000</v>
      </c>
      <c r="G1760" s="4">
        <v>2018</v>
      </c>
      <c r="H1760" s="4" t="s">
        <v>361</v>
      </c>
    </row>
    <row r="1761" spans="1:8" ht="15" customHeight="1" x14ac:dyDescent="0.2">
      <c r="A1761" s="4">
        <v>990</v>
      </c>
      <c r="B1761" s="4" t="str">
        <f t="shared" si="6"/>
        <v>Thomas W Smith Foundation_State Policy Network2017100000</v>
      </c>
      <c r="C1761" s="4" t="str">
        <f ca="1">IFERROR(__xludf.DUMMYFUNCTION("ARRAY_CONSTRAIN(ARRAYFORMULA(SINGLE(TEXTJOIN(""_"",TRUE,D1761,G1761))), 1, 1)"),"Thomas W Smith Foundation_2017")</f>
        <v>Thomas W Smith Foundation_2017</v>
      </c>
      <c r="D1761" s="4" t="s">
        <v>16</v>
      </c>
      <c r="E1761" s="8" t="s">
        <v>46</v>
      </c>
      <c r="F1761" s="6">
        <v>100000</v>
      </c>
      <c r="G1761" s="4">
        <v>2017</v>
      </c>
      <c r="H1761" s="4" t="s">
        <v>361</v>
      </c>
    </row>
    <row r="1762" spans="1:8" ht="15" customHeight="1" x14ac:dyDescent="0.2">
      <c r="A1762" s="4">
        <v>990</v>
      </c>
      <c r="B1762" s="4" t="str">
        <f t="shared" si="6"/>
        <v>Thomas W Smith Foundation_State Policy Network2017268600</v>
      </c>
      <c r="C1762" s="4" t="str">
        <f ca="1">IFERROR(__xludf.DUMMYFUNCTION("ARRAY_CONSTRAIN(ARRAYFORMULA(SINGLE(TEXTJOIN(""_"",TRUE,D1762,G1762))), 1, 1)"),"Thomas W Smith Foundation_2017")</f>
        <v>Thomas W Smith Foundation_2017</v>
      </c>
      <c r="D1762" s="4" t="s">
        <v>16</v>
      </c>
      <c r="E1762" s="8" t="s">
        <v>46</v>
      </c>
      <c r="F1762" s="6">
        <v>268600</v>
      </c>
      <c r="G1762" s="4">
        <v>2017</v>
      </c>
      <c r="H1762" s="4" t="s">
        <v>361</v>
      </c>
    </row>
    <row r="1763" spans="1:8" ht="15" customHeight="1" x14ac:dyDescent="0.2">
      <c r="A1763" s="4">
        <v>990</v>
      </c>
      <c r="B1763" s="4" t="str">
        <f t="shared" si="6"/>
        <v>Thomas W Smith Foundation_State Policy Network201675000</v>
      </c>
      <c r="C1763" s="4" t="str">
        <f ca="1">IFERROR(__xludf.DUMMYFUNCTION("ARRAY_CONSTRAIN(ARRAYFORMULA(SINGLE(TEXTJOIN(""_"",TRUE,D1763,G1763))), 1, 1)"),"Thomas W Smith Foundation_2016")</f>
        <v>Thomas W Smith Foundation_2016</v>
      </c>
      <c r="D1763" s="4" t="s">
        <v>16</v>
      </c>
      <c r="E1763" s="8" t="s">
        <v>46</v>
      </c>
      <c r="F1763" s="6">
        <v>75000</v>
      </c>
      <c r="G1763" s="4">
        <v>2016</v>
      </c>
      <c r="H1763" s="4" t="s">
        <v>361</v>
      </c>
    </row>
    <row r="1764" spans="1:8" ht="15" customHeight="1" x14ac:dyDescent="0.2">
      <c r="A1764" s="5" t="s">
        <v>1049</v>
      </c>
      <c r="B1764" s="4" t="str">
        <f t="shared" si="6"/>
        <v>TKBW Private Foundation_State Policy Network20225000</v>
      </c>
      <c r="C1764" s="4" t="str">
        <f ca="1">IFERROR(__xludf.DUMMYFUNCTION("ARRAY_CONSTRAIN(ARRAYFORMULA(SINGLE(TEXTJOIN(""_"",TRUE,D1764,G1764))), 1, 1)"),"TKBW Private Foundation_2022")</f>
        <v>TKBW Private Foundation_2022</v>
      </c>
      <c r="D1764" s="4" t="s">
        <v>67</v>
      </c>
      <c r="E1764" s="8" t="s">
        <v>46</v>
      </c>
      <c r="F1764" s="6">
        <v>5000</v>
      </c>
      <c r="G1764" s="4">
        <v>2022</v>
      </c>
      <c r="H1764" s="4" t="s">
        <v>361</v>
      </c>
    </row>
    <row r="1765" spans="1:8" ht="15" customHeight="1" x14ac:dyDescent="0.2">
      <c r="A1765" s="5" t="s">
        <v>1050</v>
      </c>
      <c r="B1765" s="4" t="str">
        <f t="shared" si="6"/>
        <v>TKBW Private Foundation_State Policy Network20215000</v>
      </c>
      <c r="C1765" s="4" t="str">
        <f ca="1">IFERROR(__xludf.DUMMYFUNCTION("ARRAY_CONSTRAIN(ARRAYFORMULA(SINGLE(TEXTJOIN(""_"",TRUE,D1765,G1765))), 1, 1)"),"TKBW Private Foundation_2021")</f>
        <v>TKBW Private Foundation_2021</v>
      </c>
      <c r="D1765" s="4" t="s">
        <v>67</v>
      </c>
      <c r="E1765" s="8" t="s">
        <v>46</v>
      </c>
      <c r="F1765" s="6">
        <v>5000</v>
      </c>
      <c r="G1765" s="4">
        <v>2021</v>
      </c>
      <c r="H1765" s="4" t="s">
        <v>361</v>
      </c>
    </row>
    <row r="1766" spans="1:8" ht="15" customHeight="1" x14ac:dyDescent="0.2">
      <c r="A1766" s="5" t="s">
        <v>1051</v>
      </c>
      <c r="B1766" s="4" t="str">
        <f t="shared" si="6"/>
        <v>TKBW Private Foundation_State Policy Network20204000</v>
      </c>
      <c r="C1766" s="4" t="str">
        <f ca="1">IFERROR(__xludf.DUMMYFUNCTION("ARRAY_CONSTRAIN(ARRAYFORMULA(SINGLE(TEXTJOIN(""_"",TRUE,D1766,G1766))), 1, 1)"),"TKBW Private Foundation_2020")</f>
        <v>TKBW Private Foundation_2020</v>
      </c>
      <c r="D1766" s="4" t="s">
        <v>67</v>
      </c>
      <c r="E1766" s="8" t="s">
        <v>46</v>
      </c>
      <c r="F1766" s="6">
        <v>4000</v>
      </c>
      <c r="G1766" s="4">
        <v>2020</v>
      </c>
      <c r="H1766" s="4" t="s">
        <v>361</v>
      </c>
    </row>
    <row r="1767" spans="1:8" ht="15" customHeight="1" x14ac:dyDescent="0.2">
      <c r="A1767" s="5" t="s">
        <v>1052</v>
      </c>
      <c r="B1767" s="4" t="str">
        <f t="shared" si="6"/>
        <v>TKBW Private Foundation_State Policy Network20194000</v>
      </c>
      <c r="C1767" s="4" t="str">
        <f ca="1">IFERROR(__xludf.DUMMYFUNCTION("ARRAY_CONSTRAIN(ARRAYFORMULA(SINGLE(TEXTJOIN(""_"",TRUE,D1767,G1767))), 1, 1)"),"TKBW Private Foundation_2019")</f>
        <v>TKBW Private Foundation_2019</v>
      </c>
      <c r="D1767" s="4" t="s">
        <v>67</v>
      </c>
      <c r="E1767" s="8" t="s">
        <v>46</v>
      </c>
      <c r="F1767" s="6">
        <v>4000</v>
      </c>
      <c r="G1767" s="4">
        <v>2019</v>
      </c>
      <c r="H1767" s="4" t="s">
        <v>361</v>
      </c>
    </row>
    <row r="1768" spans="1:8" ht="15" customHeight="1" x14ac:dyDescent="0.2">
      <c r="A1768" s="5" t="s">
        <v>1053</v>
      </c>
      <c r="B1768" s="4" t="str">
        <f t="shared" si="6"/>
        <v>TKBW Private Foundation_State Policy Network20185000</v>
      </c>
      <c r="C1768" s="4" t="str">
        <f ca="1">IFERROR(__xludf.DUMMYFUNCTION("ARRAY_CONSTRAIN(ARRAYFORMULA(SINGLE(TEXTJOIN(""_"",TRUE,D1768,G1768))), 1, 1)"),"TKBW Private Foundation_2018")</f>
        <v>TKBW Private Foundation_2018</v>
      </c>
      <c r="D1768" s="4" t="s">
        <v>67</v>
      </c>
      <c r="E1768" s="8" t="s">
        <v>46</v>
      </c>
      <c r="F1768" s="6">
        <v>5000</v>
      </c>
      <c r="G1768" s="4">
        <v>2018</v>
      </c>
      <c r="H1768" s="4" t="s">
        <v>361</v>
      </c>
    </row>
    <row r="1769" spans="1:8" ht="15" customHeight="1" x14ac:dyDescent="0.2">
      <c r="A1769" s="5" t="s">
        <v>1054</v>
      </c>
      <c r="B1769" s="4" t="str">
        <f t="shared" si="6"/>
        <v>TKBW Private Foundation_State Policy Network20165000</v>
      </c>
      <c r="C1769" s="4" t="str">
        <f ca="1">IFERROR(__xludf.DUMMYFUNCTION("ARRAY_CONSTRAIN(ARRAYFORMULA(SINGLE(TEXTJOIN(""_"",TRUE,D1769,G1769))), 1, 1)"),"TKBW Private Foundation_2016")</f>
        <v>TKBW Private Foundation_2016</v>
      </c>
      <c r="D1769" s="4" t="s">
        <v>67</v>
      </c>
      <c r="E1769" s="8" t="s">
        <v>46</v>
      </c>
      <c r="F1769" s="6">
        <v>5000</v>
      </c>
      <c r="G1769" s="4">
        <v>2016</v>
      </c>
      <c r="H1769" s="4" t="s">
        <v>361</v>
      </c>
    </row>
    <row r="1770" spans="1:8" ht="15" customHeight="1" x14ac:dyDescent="0.2">
      <c r="A1770" s="5" t="s">
        <v>1055</v>
      </c>
      <c r="B1770" s="4" t="str">
        <f t="shared" si="6"/>
        <v>TKBW Private Foundation_State Policy Network20155000</v>
      </c>
      <c r="C1770" s="4" t="str">
        <f ca="1">IFERROR(__xludf.DUMMYFUNCTION("ARRAY_CONSTRAIN(ARRAYFORMULA(SINGLE(TEXTJOIN(""_"",TRUE,D1770,G1770))), 1, 1)"),"TKBW Private Foundation_2015")</f>
        <v>TKBW Private Foundation_2015</v>
      </c>
      <c r="D1770" s="4" t="s">
        <v>67</v>
      </c>
      <c r="E1770" s="8" t="s">
        <v>46</v>
      </c>
      <c r="F1770" s="6">
        <v>5000</v>
      </c>
      <c r="G1770" s="4">
        <v>2015</v>
      </c>
      <c r="H1770" s="4" t="s">
        <v>361</v>
      </c>
    </row>
    <row r="1771" spans="1:8" ht="15" customHeight="1" x14ac:dyDescent="0.2">
      <c r="A1771" s="5" t="s">
        <v>1056</v>
      </c>
      <c r="B1771" s="4" t="str">
        <f t="shared" si="6"/>
        <v>TKBW Private Foundation_State Policy Network20145000</v>
      </c>
      <c r="C1771" s="4" t="str">
        <f ca="1">IFERROR(__xludf.DUMMYFUNCTION("ARRAY_CONSTRAIN(ARRAYFORMULA(SINGLE(TEXTJOIN(""_"",TRUE,D1771,G1771))), 1, 1)"),"TKBW Private Foundation_2014")</f>
        <v>TKBW Private Foundation_2014</v>
      </c>
      <c r="D1771" s="4" t="s">
        <v>67</v>
      </c>
      <c r="E1771" s="8" t="s">
        <v>46</v>
      </c>
      <c r="F1771" s="6">
        <v>5000</v>
      </c>
      <c r="G1771" s="4">
        <v>2014</v>
      </c>
      <c r="H1771" s="4" t="s">
        <v>361</v>
      </c>
    </row>
    <row r="1772" spans="1:8" ht="15" customHeight="1" x14ac:dyDescent="0.2">
      <c r="A1772" s="5" t="s">
        <v>1057</v>
      </c>
      <c r="B1772" s="4" t="str">
        <f t="shared" si="6"/>
        <v>TKBW Private Foundation_State Policy Network201310000</v>
      </c>
      <c r="C1772" s="4" t="str">
        <f ca="1">IFERROR(__xludf.DUMMYFUNCTION("ARRAY_CONSTRAIN(ARRAYFORMULA(SINGLE(TEXTJOIN(""_"",TRUE,D1772,G1772))), 1, 1)"),"TKBW Private Foundation_2013")</f>
        <v>TKBW Private Foundation_2013</v>
      </c>
      <c r="D1772" s="4" t="s">
        <v>67</v>
      </c>
      <c r="E1772" s="8" t="s">
        <v>46</v>
      </c>
      <c r="F1772" s="6">
        <v>10000</v>
      </c>
      <c r="G1772" s="4">
        <v>2013</v>
      </c>
      <c r="H1772" s="4" t="s">
        <v>361</v>
      </c>
    </row>
    <row r="1773" spans="1:8" ht="15" customHeight="1" x14ac:dyDescent="0.2">
      <c r="A1773" s="5" t="s">
        <v>1058</v>
      </c>
      <c r="B1773" s="4" t="str">
        <f t="shared" si="6"/>
        <v>TKBW Private Foundation_State Policy Network20125000</v>
      </c>
      <c r="C1773" s="4" t="str">
        <f ca="1">IFERROR(__xludf.DUMMYFUNCTION("ARRAY_CONSTRAIN(ARRAYFORMULA(SINGLE(TEXTJOIN(""_"",TRUE,D1773,G1773))), 1, 1)"),"TKBW Private Foundation_2012")</f>
        <v>TKBW Private Foundation_2012</v>
      </c>
      <c r="D1773" s="4" t="s">
        <v>67</v>
      </c>
      <c r="E1773" s="8" t="s">
        <v>46</v>
      </c>
      <c r="F1773" s="6">
        <v>5000</v>
      </c>
      <c r="G1773" s="4">
        <v>2012</v>
      </c>
      <c r="H1773" s="4" t="s">
        <v>361</v>
      </c>
    </row>
    <row r="1774" spans="1:8" ht="15" customHeight="1" x14ac:dyDescent="0.2">
      <c r="A1774" s="5" t="s">
        <v>1059</v>
      </c>
      <c r="B1774" s="4" t="str">
        <f t="shared" si="6"/>
        <v>TKBW Private Foundation_State Policy Network20115000</v>
      </c>
      <c r="C1774" s="4" t="str">
        <f ca="1">IFERROR(__xludf.DUMMYFUNCTION("ARRAY_CONSTRAIN(ARRAYFORMULA(SINGLE(TEXTJOIN(""_"",TRUE,D1774,G1774))), 1, 1)"),"TKBW Private Foundation_2011")</f>
        <v>TKBW Private Foundation_2011</v>
      </c>
      <c r="D1774" s="4" t="s">
        <v>67</v>
      </c>
      <c r="E1774" s="8" t="s">
        <v>46</v>
      </c>
      <c r="F1774" s="6">
        <v>5000</v>
      </c>
      <c r="G1774" s="4">
        <v>2011</v>
      </c>
      <c r="H1774" s="4" t="s">
        <v>361</v>
      </c>
    </row>
    <row r="1775" spans="1:8" ht="15" customHeight="1" x14ac:dyDescent="0.2">
      <c r="A1775" s="4">
        <v>990</v>
      </c>
      <c r="B1775" s="4" t="str">
        <f t="shared" si="6"/>
        <v>TWS Foundation_State Policy Network201550000</v>
      </c>
      <c r="C1775" s="4" t="str">
        <f ca="1">IFERROR(__xludf.DUMMYFUNCTION("ARRAY_CONSTRAIN(ARRAYFORMULA(SINGLE(TEXTJOIN(""_"",TRUE,D1775,G1775))), 1, 1)"),"TWS Foundation_2015")</f>
        <v>TWS Foundation_2015</v>
      </c>
      <c r="D1775" s="4" t="s">
        <v>50</v>
      </c>
      <c r="E1775" s="8" t="s">
        <v>46</v>
      </c>
      <c r="F1775" s="6">
        <v>50000</v>
      </c>
      <c r="G1775" s="4">
        <v>2015</v>
      </c>
      <c r="H1775" s="4" t="s">
        <v>361</v>
      </c>
    </row>
    <row r="1776" spans="1:8" ht="15" customHeight="1" x14ac:dyDescent="0.2">
      <c r="A1776" s="4">
        <v>990</v>
      </c>
      <c r="B1776" s="4" t="str">
        <f t="shared" si="6"/>
        <v>TWS Foundation_State Policy Network201450000</v>
      </c>
      <c r="C1776" s="4" t="str">
        <f ca="1">IFERROR(__xludf.DUMMYFUNCTION("ARRAY_CONSTRAIN(ARRAYFORMULA(SINGLE(TEXTJOIN(""_"",TRUE,D1776,G1776))), 1, 1)"),"TWS Foundation_2014")</f>
        <v>TWS Foundation_2014</v>
      </c>
      <c r="D1776" s="4" t="s">
        <v>50</v>
      </c>
      <c r="E1776" s="8" t="s">
        <v>46</v>
      </c>
      <c r="F1776" s="6">
        <v>50000</v>
      </c>
      <c r="G1776" s="4">
        <v>2014</v>
      </c>
      <c r="H1776" s="4" t="s">
        <v>361</v>
      </c>
    </row>
    <row r="1777" spans="1:8" ht="15" customHeight="1" x14ac:dyDescent="0.2">
      <c r="A1777" s="5" t="s">
        <v>1060</v>
      </c>
      <c r="B1777" s="4" t="str">
        <f t="shared" si="6"/>
        <v>Vanguard Charitable Endowment Program_State Policy Network2022150500</v>
      </c>
      <c r="C1777" s="4" t="str">
        <f ca="1">IFERROR(__xludf.DUMMYFUNCTION("ARRAY_CONSTRAIN(ARRAYFORMULA(SINGLE(TEXTJOIN(""_"",TRUE,D1777,G1777))), 1, 1)"),"Vanguard Charitable Endowment Program_2022")</f>
        <v>Vanguard Charitable Endowment Program_2022</v>
      </c>
      <c r="D1777" s="4" t="s">
        <v>35</v>
      </c>
      <c r="E1777" s="8" t="s">
        <v>46</v>
      </c>
      <c r="F1777" s="6">
        <v>150500</v>
      </c>
      <c r="G1777" s="4">
        <v>2022</v>
      </c>
      <c r="H1777" s="4" t="s">
        <v>361</v>
      </c>
    </row>
    <row r="1778" spans="1:8" ht="15" customHeight="1" x14ac:dyDescent="0.2">
      <c r="A1778" s="5" t="s">
        <v>1061</v>
      </c>
      <c r="B1778" s="4" t="str">
        <f t="shared" si="6"/>
        <v>Vanguard Charitable Endowment Program_State Policy Network2021150500</v>
      </c>
      <c r="C1778" s="4" t="str">
        <f ca="1">IFERROR(__xludf.DUMMYFUNCTION("ARRAY_CONSTRAIN(ARRAYFORMULA(SINGLE(TEXTJOIN(""_"",TRUE,D1778,G1778))), 1, 1)"),"Vanguard Charitable Endowment Program_2021")</f>
        <v>Vanguard Charitable Endowment Program_2021</v>
      </c>
      <c r="D1778" s="4" t="s">
        <v>35</v>
      </c>
      <c r="E1778" s="8" t="s">
        <v>46</v>
      </c>
      <c r="F1778" s="6">
        <v>150500</v>
      </c>
      <c r="G1778" s="4">
        <v>2021</v>
      </c>
      <c r="H1778" s="4" t="s">
        <v>361</v>
      </c>
    </row>
    <row r="1779" spans="1:8" ht="15" customHeight="1" x14ac:dyDescent="0.2">
      <c r="A1779" s="4">
        <v>990</v>
      </c>
      <c r="B1779" s="4" t="str">
        <f t="shared" si="6"/>
        <v>Vernon K Krieble Foundation_State Policy Network201758000</v>
      </c>
      <c r="C1779" s="4" t="str">
        <f ca="1">IFERROR(__xludf.DUMMYFUNCTION("ARRAY_CONSTRAIN(ARRAYFORMULA(SINGLE(TEXTJOIN(""_"",TRUE,D1779,G1779))), 1, 1)"),"Vernon K Krieble Foundation_2017")</f>
        <v>Vernon K Krieble Foundation_2017</v>
      </c>
      <c r="D1779" s="4" t="s">
        <v>37</v>
      </c>
      <c r="E1779" s="8" t="s">
        <v>46</v>
      </c>
      <c r="F1779" s="6">
        <v>58000</v>
      </c>
      <c r="G1779" s="4">
        <v>2017</v>
      </c>
      <c r="H1779" s="4" t="s">
        <v>361</v>
      </c>
    </row>
    <row r="1780" spans="1:8" ht="15" customHeight="1" x14ac:dyDescent="0.2">
      <c r="A1780" s="4">
        <v>990</v>
      </c>
      <c r="B1780" s="4" t="str">
        <f t="shared" si="6"/>
        <v>Vernon K Krieble Foundation_State Policy Network201553643</v>
      </c>
      <c r="C1780" s="4" t="str">
        <f ca="1">IFERROR(__xludf.DUMMYFUNCTION("ARRAY_CONSTRAIN(ARRAYFORMULA(SINGLE(TEXTJOIN(""_"",TRUE,D1780,G1780))), 1, 1)"),"Vernon K Krieble Foundation_2015")</f>
        <v>Vernon K Krieble Foundation_2015</v>
      </c>
      <c r="D1780" s="4" t="s">
        <v>37</v>
      </c>
      <c r="E1780" s="8" t="s">
        <v>46</v>
      </c>
      <c r="F1780" s="6">
        <v>53643</v>
      </c>
      <c r="G1780" s="4">
        <v>2015</v>
      </c>
      <c r="H1780" s="4" t="s">
        <v>361</v>
      </c>
    </row>
    <row r="1781" spans="1:8" ht="15" customHeight="1" x14ac:dyDescent="0.2">
      <c r="A1781" s="4">
        <v>990</v>
      </c>
      <c r="B1781" s="4" t="str">
        <f t="shared" si="6"/>
        <v>Vernon K Krieble Foundation_State Policy Network201420000</v>
      </c>
      <c r="C1781" s="4" t="str">
        <f ca="1">IFERROR(__xludf.DUMMYFUNCTION("ARRAY_CONSTRAIN(ARRAYFORMULA(SINGLE(TEXTJOIN(""_"",TRUE,D1781,G1781))), 1, 1)"),"Vernon K Krieble Foundation_2014")</f>
        <v>Vernon K Krieble Foundation_2014</v>
      </c>
      <c r="D1781" s="4" t="s">
        <v>37</v>
      </c>
      <c r="E1781" s="8" t="s">
        <v>46</v>
      </c>
      <c r="F1781" s="6">
        <v>20000</v>
      </c>
      <c r="G1781" s="4">
        <v>2014</v>
      </c>
      <c r="H1781" s="4" t="s">
        <v>361</v>
      </c>
    </row>
    <row r="1782" spans="1:8" ht="15" customHeight="1" x14ac:dyDescent="0.2">
      <c r="A1782" s="4">
        <v>990</v>
      </c>
      <c r="B1782" s="4" t="str">
        <f t="shared" si="6"/>
        <v>Vernon K Krieble Foundation_State Policy Network201345000</v>
      </c>
      <c r="C1782" s="4" t="str">
        <f ca="1">IFERROR(__xludf.DUMMYFUNCTION("ARRAY_CONSTRAIN(ARRAYFORMULA(SINGLE(TEXTJOIN(""_"",TRUE,D1782,G1782))), 1, 1)"),"Vernon K Krieble Foundation_2013")</f>
        <v>Vernon K Krieble Foundation_2013</v>
      </c>
      <c r="D1782" s="4" t="s">
        <v>37</v>
      </c>
      <c r="E1782" s="8" t="s">
        <v>46</v>
      </c>
      <c r="F1782" s="6">
        <v>45000</v>
      </c>
      <c r="G1782" s="4">
        <v>2013</v>
      </c>
      <c r="H1782" s="4" t="s">
        <v>361</v>
      </c>
    </row>
    <row r="1783" spans="1:8" ht="15" customHeight="1" x14ac:dyDescent="0.2">
      <c r="A1783" s="4" t="s">
        <v>368</v>
      </c>
      <c r="B1783" s="4" t="str">
        <f t="shared" si="6"/>
        <v>Vernon K Krieble Foundation_State Policy Network201236305</v>
      </c>
      <c r="C1783" s="4" t="str">
        <f ca="1">IFERROR(__xludf.DUMMYFUNCTION("ARRAY_CONSTRAIN(ARRAYFORMULA(SINGLE(TEXTJOIN(""_"",TRUE,D1783,G1783))), 1, 1)"),"Vernon K Krieble Foundation_2012")</f>
        <v>Vernon K Krieble Foundation_2012</v>
      </c>
      <c r="D1783" s="4" t="s">
        <v>37</v>
      </c>
      <c r="E1783" s="8" t="s">
        <v>46</v>
      </c>
      <c r="F1783" s="6">
        <v>36305</v>
      </c>
      <c r="G1783" s="4">
        <v>2012</v>
      </c>
    </row>
    <row r="1784" spans="1:8" ht="15" customHeight="1" x14ac:dyDescent="0.2">
      <c r="A1784" s="4" t="s">
        <v>368</v>
      </c>
      <c r="B1784" s="4" t="str">
        <f t="shared" si="6"/>
        <v>Vernon K Krieble Foundation_State Policy Network201135000</v>
      </c>
      <c r="C1784" s="4" t="str">
        <f ca="1">IFERROR(__xludf.DUMMYFUNCTION("ARRAY_CONSTRAIN(ARRAYFORMULA(SINGLE(TEXTJOIN(""_"",TRUE,D1784,G1784))), 1, 1)"),"Vernon K Krieble Foundation_2011")</f>
        <v>Vernon K Krieble Foundation_2011</v>
      </c>
      <c r="D1784" s="4" t="s">
        <v>37</v>
      </c>
      <c r="E1784" s="8" t="s">
        <v>46</v>
      </c>
      <c r="F1784" s="6">
        <v>35000</v>
      </c>
      <c r="G1784" s="4">
        <v>2011</v>
      </c>
    </row>
    <row r="1785" spans="1:8" ht="15" customHeight="1" x14ac:dyDescent="0.2">
      <c r="A1785" s="4" t="s">
        <v>368</v>
      </c>
      <c r="B1785" s="4" t="str">
        <f t="shared" si="6"/>
        <v>Vernon K Krieble Foundation_State Policy Network20101000</v>
      </c>
      <c r="C1785" s="4" t="str">
        <f ca="1">IFERROR(__xludf.DUMMYFUNCTION("ARRAY_CONSTRAIN(ARRAYFORMULA(SINGLE(TEXTJOIN(""_"",TRUE,D1785,G1785))), 1, 1)"),"Vernon K Krieble Foundation_2010")</f>
        <v>Vernon K Krieble Foundation_2010</v>
      </c>
      <c r="D1785" s="4" t="s">
        <v>37</v>
      </c>
      <c r="E1785" s="8" t="s">
        <v>46</v>
      </c>
      <c r="F1785" s="6">
        <v>1000</v>
      </c>
      <c r="G1785" s="4">
        <v>2010</v>
      </c>
    </row>
    <row r="1786" spans="1:8" ht="15" customHeight="1" x14ac:dyDescent="0.2">
      <c r="A1786" s="4" t="s">
        <v>368</v>
      </c>
      <c r="B1786" s="4" t="str">
        <f t="shared" si="6"/>
        <v>Vernon K Krieble Foundation_State Policy Network20082500</v>
      </c>
      <c r="C1786" s="4" t="str">
        <f ca="1">IFERROR(__xludf.DUMMYFUNCTION("ARRAY_CONSTRAIN(ARRAYFORMULA(SINGLE(TEXTJOIN(""_"",TRUE,D1786,G1786))), 1, 1)"),"Vernon K Krieble Foundation_2008")</f>
        <v>Vernon K Krieble Foundation_2008</v>
      </c>
      <c r="D1786" s="4" t="s">
        <v>37</v>
      </c>
      <c r="E1786" s="8" t="s">
        <v>46</v>
      </c>
      <c r="F1786" s="6">
        <v>2500</v>
      </c>
      <c r="G1786" s="4">
        <v>2008</v>
      </c>
    </row>
    <row r="1787" spans="1:8" ht="15" customHeight="1" x14ac:dyDescent="0.2">
      <c r="A1787" s="4" t="s">
        <v>368</v>
      </c>
      <c r="B1787" s="4" t="str">
        <f t="shared" si="6"/>
        <v>Vernon K Krieble Foundation_State Policy Network20065000</v>
      </c>
      <c r="C1787" s="4" t="str">
        <f ca="1">IFERROR(__xludf.DUMMYFUNCTION("ARRAY_CONSTRAIN(ARRAYFORMULA(SINGLE(TEXTJOIN(""_"",TRUE,D1787,G1787))), 1, 1)"),"Vernon K Krieble Foundation_2006")</f>
        <v>Vernon K Krieble Foundation_2006</v>
      </c>
      <c r="D1787" s="4" t="s">
        <v>37</v>
      </c>
      <c r="E1787" s="8" t="s">
        <v>46</v>
      </c>
      <c r="F1787" s="6">
        <v>5000</v>
      </c>
      <c r="G1787" s="4">
        <v>2006</v>
      </c>
    </row>
    <row r="1788" spans="1:8" ht="15" customHeight="1" x14ac:dyDescent="0.2">
      <c r="A1788" s="4" t="s">
        <v>368</v>
      </c>
      <c r="B1788" s="4" t="str">
        <f t="shared" si="6"/>
        <v>Vernon K Krieble Foundation_State Policy Network200512500</v>
      </c>
      <c r="C1788" s="4" t="str">
        <f ca="1">IFERROR(__xludf.DUMMYFUNCTION("ARRAY_CONSTRAIN(ARRAYFORMULA(SINGLE(TEXTJOIN(""_"",TRUE,D1788,G1788))), 1, 1)"),"Vernon K Krieble Foundation_2005")</f>
        <v>Vernon K Krieble Foundation_2005</v>
      </c>
      <c r="D1788" s="4" t="s">
        <v>37</v>
      </c>
      <c r="E1788" s="8" t="s">
        <v>46</v>
      </c>
      <c r="F1788" s="6">
        <v>12500</v>
      </c>
      <c r="G1788" s="4">
        <v>2005</v>
      </c>
    </row>
    <row r="1789" spans="1:8" ht="15" customHeight="1" x14ac:dyDescent="0.2">
      <c r="A1789" s="4" t="s">
        <v>368</v>
      </c>
      <c r="B1789" s="4" t="str">
        <f t="shared" si="6"/>
        <v>Vernon K Krieble Foundation_State Policy Network20042500</v>
      </c>
      <c r="C1789" s="4" t="str">
        <f ca="1">IFERROR(__xludf.DUMMYFUNCTION("ARRAY_CONSTRAIN(ARRAYFORMULA(SINGLE(TEXTJOIN(""_"",TRUE,D1789,G1789))), 1, 1)"),"Vernon K Krieble Foundation_2004")</f>
        <v>Vernon K Krieble Foundation_2004</v>
      </c>
      <c r="D1789" s="4" t="s">
        <v>37</v>
      </c>
      <c r="E1789" s="8" t="s">
        <v>46</v>
      </c>
      <c r="F1789" s="6">
        <v>2500</v>
      </c>
      <c r="G1789" s="4">
        <v>2004</v>
      </c>
    </row>
    <row r="1790" spans="1:8" ht="15" customHeight="1" x14ac:dyDescent="0.2">
      <c r="A1790" s="4" t="s">
        <v>368</v>
      </c>
      <c r="B1790" s="4" t="str">
        <f t="shared" si="6"/>
        <v>Vernon K Krieble Foundation_State Policy Network20032000</v>
      </c>
      <c r="C1790" s="4" t="str">
        <f ca="1">IFERROR(__xludf.DUMMYFUNCTION("ARRAY_CONSTRAIN(ARRAYFORMULA(SINGLE(TEXTJOIN(""_"",TRUE,D1790,G1790))), 1, 1)"),"Vernon K Krieble Foundation_2003")</f>
        <v>Vernon K Krieble Foundation_2003</v>
      </c>
      <c r="D1790" s="4" t="s">
        <v>37</v>
      </c>
      <c r="E1790" s="8" t="s">
        <v>46</v>
      </c>
      <c r="F1790" s="6">
        <v>2000</v>
      </c>
      <c r="G1790" s="4">
        <v>2003</v>
      </c>
    </row>
    <row r="1791" spans="1:8" ht="15" customHeight="1" x14ac:dyDescent="0.2">
      <c r="A1791" s="4" t="s">
        <v>368</v>
      </c>
      <c r="B1791" s="4" t="str">
        <f t="shared" si="6"/>
        <v>Vernon K Krieble Foundation_State Policy Network20021000</v>
      </c>
      <c r="C1791" s="4" t="str">
        <f ca="1">IFERROR(__xludf.DUMMYFUNCTION("ARRAY_CONSTRAIN(ARRAYFORMULA(SINGLE(TEXTJOIN(""_"",TRUE,D1791,G1791))), 1, 1)"),"Vernon K Krieble Foundation_2002")</f>
        <v>Vernon K Krieble Foundation_2002</v>
      </c>
      <c r="D1791" s="4" t="s">
        <v>37</v>
      </c>
      <c r="E1791" s="8" t="s">
        <v>46</v>
      </c>
      <c r="F1791" s="6">
        <v>1000</v>
      </c>
      <c r="G1791" s="4">
        <v>2002</v>
      </c>
    </row>
    <row r="1792" spans="1:8" ht="15" customHeight="1" x14ac:dyDescent="0.2">
      <c r="A1792" s="4" t="s">
        <v>368</v>
      </c>
      <c r="B1792" s="4" t="str">
        <f t="shared" si="6"/>
        <v>Vernon K Krieble Foundation_State Policy Network20011000</v>
      </c>
      <c r="C1792" s="4" t="str">
        <f ca="1">IFERROR(__xludf.DUMMYFUNCTION("ARRAY_CONSTRAIN(ARRAYFORMULA(SINGLE(TEXTJOIN(""_"",TRUE,D1792,G1792))), 1, 1)"),"Vernon K Krieble Foundation_2001")</f>
        <v>Vernon K Krieble Foundation_2001</v>
      </c>
      <c r="D1792" s="4" t="s">
        <v>37</v>
      </c>
      <c r="E1792" s="8" t="s">
        <v>46</v>
      </c>
      <c r="F1792" s="6">
        <v>1000</v>
      </c>
      <c r="G1792" s="4">
        <v>2001</v>
      </c>
    </row>
    <row r="1793" spans="1:8" ht="15" customHeight="1" x14ac:dyDescent="0.2">
      <c r="A1793" s="4">
        <v>990</v>
      </c>
      <c r="B1793" s="4" t="str">
        <f t="shared" si="6"/>
        <v>Vernon K Krieble Foundation_State Policy Network20001000</v>
      </c>
      <c r="C1793" s="4" t="str">
        <f ca="1">IFERROR(__xludf.DUMMYFUNCTION("ARRAY_CONSTRAIN(ARRAYFORMULA(SINGLE(TEXTJOIN(""_"",TRUE,D1793,G1793))), 1, 1)"),"Vernon K Krieble Foundation_2000")</f>
        <v>Vernon K Krieble Foundation_2000</v>
      </c>
      <c r="D1793" s="4" t="s">
        <v>37</v>
      </c>
      <c r="E1793" s="8" t="s">
        <v>46</v>
      </c>
      <c r="F1793" s="6">
        <v>1000</v>
      </c>
      <c r="G1793" s="4">
        <v>2000</v>
      </c>
      <c r="H1793" s="4" t="s">
        <v>361</v>
      </c>
    </row>
    <row r="1794" spans="1:8" ht="15" customHeight="1" x14ac:dyDescent="0.2">
      <c r="A1794" s="5" t="s">
        <v>1062</v>
      </c>
      <c r="B1794" s="4" t="str">
        <f t="shared" si="6"/>
        <v>W Russell and Patricia Davis Duke Foundation_State Policy Network2022250</v>
      </c>
      <c r="C1794" s="4" t="str">
        <f ca="1">IFERROR(__xludf.DUMMYFUNCTION("ARRAY_CONSTRAIN(ARRAYFORMULA(SINGLE(TEXTJOIN(""_"",TRUE,D1794,G1794))), 1, 1)"),"W Russell and Patricia Davis Duke Foundation_2022")</f>
        <v>W Russell and Patricia Davis Duke Foundation_2022</v>
      </c>
      <c r="D1794" s="4" t="s">
        <v>170</v>
      </c>
      <c r="E1794" s="8" t="s">
        <v>46</v>
      </c>
      <c r="F1794" s="6">
        <v>250</v>
      </c>
      <c r="G1794" s="4">
        <v>2022</v>
      </c>
      <c r="H1794" s="4" t="s">
        <v>361</v>
      </c>
    </row>
    <row r="1795" spans="1:8" ht="15" customHeight="1" x14ac:dyDescent="0.2">
      <c r="A1795" s="5" t="s">
        <v>1063</v>
      </c>
      <c r="B1795" s="4" t="str">
        <f t="shared" si="6"/>
        <v>W Russell and Patricia Davis Duke Foundation_State Policy Network20211250</v>
      </c>
      <c r="C1795" s="4" t="str">
        <f ca="1">IFERROR(__xludf.DUMMYFUNCTION("ARRAY_CONSTRAIN(ARRAYFORMULA(SINGLE(TEXTJOIN(""_"",TRUE,D1795,G1795))), 1, 1)"),"W Russell and Patricia Davis Duke Foundation_2021")</f>
        <v>W Russell and Patricia Davis Duke Foundation_2021</v>
      </c>
      <c r="D1795" s="4" t="s">
        <v>170</v>
      </c>
      <c r="E1795" s="8" t="s">
        <v>46</v>
      </c>
      <c r="F1795" s="6">
        <v>1250</v>
      </c>
      <c r="G1795" s="4">
        <v>2021</v>
      </c>
      <c r="H1795" s="4" t="s">
        <v>361</v>
      </c>
    </row>
    <row r="1796" spans="1:8" ht="15" customHeight="1" x14ac:dyDescent="0.2">
      <c r="A1796" s="5" t="s">
        <v>1064</v>
      </c>
      <c r="B1796" s="4" t="str">
        <f t="shared" si="6"/>
        <v>Walton Family Foundation_State Policy Network20211200000</v>
      </c>
      <c r="C1796" s="4" t="str">
        <f ca="1">IFERROR(__xludf.DUMMYFUNCTION("ARRAY_CONSTRAIN(ARRAYFORMULA(SINGLE(TEXTJOIN(""_"",TRUE,D1796,G1796))), 1, 1)"),"Walton Family Foundation_2021")</f>
        <v>Walton Family Foundation_2021</v>
      </c>
      <c r="D1796" s="4" t="s">
        <v>13</v>
      </c>
      <c r="E1796" s="8" t="s">
        <v>46</v>
      </c>
      <c r="F1796" s="6">
        <v>1200000</v>
      </c>
      <c r="G1796" s="4">
        <v>2021</v>
      </c>
      <c r="H1796" s="4" t="s">
        <v>361</v>
      </c>
    </row>
    <row r="1797" spans="1:8" ht="15" customHeight="1" x14ac:dyDescent="0.2">
      <c r="A1797" s="4">
        <v>990</v>
      </c>
      <c r="B1797" s="4" t="str">
        <f t="shared" si="6"/>
        <v>Walton Family Foundation_State Policy Network20201100000</v>
      </c>
      <c r="C1797" s="4" t="str">
        <f ca="1">IFERROR(__xludf.DUMMYFUNCTION("ARRAY_CONSTRAIN(ARRAYFORMULA(SINGLE(TEXTJOIN(""_"",TRUE,D1797,G1797))), 1, 1)"),"Walton Family Foundation_2020")</f>
        <v>Walton Family Foundation_2020</v>
      </c>
      <c r="D1797" s="4" t="s">
        <v>13</v>
      </c>
      <c r="E1797" s="8" t="s">
        <v>46</v>
      </c>
      <c r="F1797" s="6">
        <v>1100000</v>
      </c>
      <c r="G1797" s="4">
        <v>2020</v>
      </c>
      <c r="H1797" s="4" t="s">
        <v>361</v>
      </c>
    </row>
    <row r="1798" spans="1:8" ht="15" customHeight="1" x14ac:dyDescent="0.2">
      <c r="A1798" s="5" t="s">
        <v>1065</v>
      </c>
      <c r="B1798" s="4" t="str">
        <f t="shared" si="6"/>
        <v>Walton Family Foundation_State Policy Network20191100000</v>
      </c>
      <c r="C1798" s="4" t="str">
        <f ca="1">IFERROR(__xludf.DUMMYFUNCTION("ARRAY_CONSTRAIN(ARRAYFORMULA(SINGLE(TEXTJOIN(""_"",TRUE,D1798,G1798))), 1, 1)"),"Walton Family Foundation_2019")</f>
        <v>Walton Family Foundation_2019</v>
      </c>
      <c r="D1798" s="4" t="s">
        <v>13</v>
      </c>
      <c r="E1798" s="8" t="s">
        <v>46</v>
      </c>
      <c r="F1798" s="6">
        <v>1100000</v>
      </c>
      <c r="G1798" s="4">
        <v>2019</v>
      </c>
      <c r="H1798" s="4" t="s">
        <v>361</v>
      </c>
    </row>
    <row r="1799" spans="1:8" ht="15" customHeight="1" x14ac:dyDescent="0.2">
      <c r="A1799" s="5" t="s">
        <v>1066</v>
      </c>
      <c r="B1799" s="4" t="str">
        <f t="shared" si="6"/>
        <v>Walton Family Foundation_State Policy Network2018345065</v>
      </c>
      <c r="C1799" s="4" t="str">
        <f ca="1">IFERROR(__xludf.DUMMYFUNCTION("ARRAY_CONSTRAIN(ARRAYFORMULA(SINGLE(TEXTJOIN(""_"",TRUE,D1799,G1799))), 1, 1)"),"Walton Family Foundation_2018")</f>
        <v>Walton Family Foundation_2018</v>
      </c>
      <c r="D1799" s="4" t="s">
        <v>13</v>
      </c>
      <c r="E1799" s="8" t="s">
        <v>46</v>
      </c>
      <c r="F1799" s="6">
        <v>345065</v>
      </c>
      <c r="G1799" s="4">
        <v>2018</v>
      </c>
      <c r="H1799" s="4" t="s">
        <v>361</v>
      </c>
    </row>
    <row r="1800" spans="1:8" ht="15" customHeight="1" x14ac:dyDescent="0.2">
      <c r="A1800" s="5" t="s">
        <v>1067</v>
      </c>
      <c r="B1800" s="4" t="str">
        <f t="shared" si="6"/>
        <v>Walton Family Foundation_State Policy Network2017119935</v>
      </c>
      <c r="C1800" s="4" t="str">
        <f ca="1">IFERROR(__xludf.DUMMYFUNCTION("ARRAY_CONSTRAIN(ARRAYFORMULA(SINGLE(TEXTJOIN(""_"",TRUE,D1800,G1800))), 1, 1)"),"Walton Family Foundation_2017")</f>
        <v>Walton Family Foundation_2017</v>
      </c>
      <c r="D1800" s="4" t="s">
        <v>13</v>
      </c>
      <c r="E1800" s="8" t="s">
        <v>46</v>
      </c>
      <c r="F1800" s="6">
        <v>119935</v>
      </c>
      <c r="G1800" s="4">
        <v>2017</v>
      </c>
      <c r="H1800" s="4" t="s">
        <v>361</v>
      </c>
    </row>
    <row r="1801" spans="1:8" ht="15" customHeight="1" x14ac:dyDescent="0.2">
      <c r="A1801" s="5" t="s">
        <v>1068</v>
      </c>
      <c r="B1801" s="4" t="str">
        <f t="shared" si="6"/>
        <v>Walton Family Foundation_State Policy Network201625000</v>
      </c>
      <c r="C1801" s="4" t="str">
        <f ca="1">IFERROR(__xludf.DUMMYFUNCTION("ARRAY_CONSTRAIN(ARRAYFORMULA(SINGLE(TEXTJOIN(""_"",TRUE,D1801,G1801))), 1, 1)"),"Walton Family Foundation_2016")</f>
        <v>Walton Family Foundation_2016</v>
      </c>
      <c r="D1801" s="4" t="s">
        <v>13</v>
      </c>
      <c r="E1801" s="8" t="s">
        <v>46</v>
      </c>
      <c r="F1801" s="6">
        <v>25000</v>
      </c>
      <c r="G1801" s="4">
        <v>2016</v>
      </c>
      <c r="H1801" s="4" t="s">
        <v>361</v>
      </c>
    </row>
    <row r="1802" spans="1:8" ht="15" customHeight="1" x14ac:dyDescent="0.2">
      <c r="A1802" s="5" t="s">
        <v>1069</v>
      </c>
      <c r="B1802" s="4" t="str">
        <f t="shared" si="6"/>
        <v>Walton Family Foundation_State Policy Network2014135000</v>
      </c>
      <c r="C1802" s="4" t="str">
        <f ca="1">IFERROR(__xludf.DUMMYFUNCTION("ARRAY_CONSTRAIN(ARRAYFORMULA(SINGLE(TEXTJOIN(""_"",TRUE,D1802,G1802))), 1, 1)"),"Walton Family Foundation_2014")</f>
        <v>Walton Family Foundation_2014</v>
      </c>
      <c r="D1802" s="4" t="s">
        <v>13</v>
      </c>
      <c r="E1802" s="8" t="s">
        <v>46</v>
      </c>
      <c r="F1802" s="6">
        <v>135000</v>
      </c>
      <c r="G1802" s="4">
        <v>2014</v>
      </c>
      <c r="H1802" s="4" t="s">
        <v>361</v>
      </c>
    </row>
    <row r="1803" spans="1:8" ht="15" customHeight="1" x14ac:dyDescent="0.2">
      <c r="A1803" s="5" t="s">
        <v>1070</v>
      </c>
      <c r="B1803" s="4" t="str">
        <f t="shared" si="6"/>
        <v>Warren B Galkin Foundation_State Policy Network20222000</v>
      </c>
      <c r="C1803" s="4" t="str">
        <f ca="1">IFERROR(__xludf.DUMMYFUNCTION("ARRAY_CONSTRAIN(ARRAYFORMULA(SINGLE(TEXTJOIN(""_"",TRUE,D1803,G1803))), 1, 1)"),"Warren B Galkin Foundation_2022")</f>
        <v>Warren B Galkin Foundation_2022</v>
      </c>
      <c r="D1803" s="4" t="s">
        <v>124</v>
      </c>
      <c r="E1803" s="8" t="s">
        <v>46</v>
      </c>
      <c r="F1803" s="6">
        <v>2000</v>
      </c>
      <c r="G1803" s="4">
        <v>2022</v>
      </c>
      <c r="H1803" s="4" t="s">
        <v>361</v>
      </c>
    </row>
    <row r="1804" spans="1:8" ht="15" customHeight="1" x14ac:dyDescent="0.2">
      <c r="A1804" s="5" t="s">
        <v>1071</v>
      </c>
      <c r="B1804" s="4" t="str">
        <f t="shared" si="6"/>
        <v>Warren B Galkin Foundation_State Policy Network20214000</v>
      </c>
      <c r="C1804" s="4" t="str">
        <f ca="1">IFERROR(__xludf.DUMMYFUNCTION("ARRAY_CONSTRAIN(ARRAYFORMULA(SINGLE(TEXTJOIN(""_"",TRUE,D1804,G1804))), 1, 1)"),"Warren B Galkin Foundation_2021")</f>
        <v>Warren B Galkin Foundation_2021</v>
      </c>
      <c r="D1804" s="4" t="s">
        <v>124</v>
      </c>
      <c r="E1804" s="8" t="s">
        <v>46</v>
      </c>
      <c r="F1804" s="6">
        <v>4000</v>
      </c>
      <c r="G1804" s="4">
        <v>2021</v>
      </c>
      <c r="H1804" s="4" t="s">
        <v>361</v>
      </c>
    </row>
    <row r="1805" spans="1:8" ht="15" customHeight="1" x14ac:dyDescent="0.2">
      <c r="A1805" s="5" t="s">
        <v>1072</v>
      </c>
      <c r="B1805" s="4" t="str">
        <f t="shared" si="6"/>
        <v>Warren B Galkin Foundation_State Policy Network20192000</v>
      </c>
      <c r="C1805" s="4" t="str">
        <f ca="1">IFERROR(__xludf.DUMMYFUNCTION("ARRAY_CONSTRAIN(ARRAYFORMULA(SINGLE(TEXTJOIN(""_"",TRUE,D1805,G1805))), 1, 1)"),"Warren B Galkin Foundation_2019")</f>
        <v>Warren B Galkin Foundation_2019</v>
      </c>
      <c r="D1805" s="4" t="s">
        <v>124</v>
      </c>
      <c r="E1805" s="8" t="s">
        <v>46</v>
      </c>
      <c r="F1805" s="6">
        <v>2000</v>
      </c>
      <c r="G1805" s="4">
        <v>2019</v>
      </c>
      <c r="H1805" s="4" t="s">
        <v>361</v>
      </c>
    </row>
    <row r="1806" spans="1:8" ht="15" customHeight="1" x14ac:dyDescent="0.2">
      <c r="A1806" s="5" t="s">
        <v>1073</v>
      </c>
      <c r="B1806" s="4" t="str">
        <f t="shared" si="6"/>
        <v>Warren B Galkin Foundation_State Policy Network20182000</v>
      </c>
      <c r="C1806" s="4" t="str">
        <f ca="1">IFERROR(__xludf.DUMMYFUNCTION("ARRAY_CONSTRAIN(ARRAYFORMULA(SINGLE(TEXTJOIN(""_"",TRUE,D1806,G1806))), 1, 1)"),"Warren B Galkin Foundation_2018")</f>
        <v>Warren B Galkin Foundation_2018</v>
      </c>
      <c r="D1806" s="4" t="s">
        <v>124</v>
      </c>
      <c r="E1806" s="8" t="s">
        <v>46</v>
      </c>
      <c r="F1806" s="6">
        <v>2000</v>
      </c>
      <c r="G1806" s="4">
        <v>2018</v>
      </c>
      <c r="H1806" s="4" t="s">
        <v>361</v>
      </c>
    </row>
    <row r="1807" spans="1:8" ht="15" customHeight="1" x14ac:dyDescent="0.2">
      <c r="A1807" s="5" t="s">
        <v>1074</v>
      </c>
      <c r="B1807" s="4" t="str">
        <f t="shared" si="6"/>
        <v>William E Chelew Foundation_State Policy Network2014300</v>
      </c>
      <c r="C1807" s="4" t="str">
        <f ca="1">IFERROR(__xludf.DUMMYFUNCTION("ARRAY_CONSTRAIN(ARRAYFORMULA(SINGLE(TEXTJOIN(""_"",TRUE,D1807,G1807))), 1, 1)"),"William E Chelew Foundation_2014")</f>
        <v>William E Chelew Foundation_2014</v>
      </c>
      <c r="D1807" s="4" t="s">
        <v>208</v>
      </c>
      <c r="E1807" s="8" t="s">
        <v>46</v>
      </c>
      <c r="F1807" s="6">
        <v>300</v>
      </c>
      <c r="G1807" s="4">
        <v>2014</v>
      </c>
      <c r="H1807" s="4" t="s">
        <v>361</v>
      </c>
    </row>
    <row r="1808" spans="1:8" ht="15" customHeight="1" x14ac:dyDescent="0.2">
      <c r="A1808" s="4">
        <v>990</v>
      </c>
      <c r="B1808" s="4" t="str">
        <f t="shared" si="6"/>
        <v>William H Donner Foundation_State Policy Network202020000</v>
      </c>
      <c r="C1808" s="4" t="str">
        <f ca="1">IFERROR(__xludf.DUMMYFUNCTION("ARRAY_CONSTRAIN(ARRAYFORMULA(SINGLE(TEXTJOIN(""_"",TRUE,D1808,G1808))), 1, 1)"),"William H Donner Foundation_2020")</f>
        <v>William H Donner Foundation_2020</v>
      </c>
      <c r="D1808" s="4" t="s">
        <v>41</v>
      </c>
      <c r="E1808" s="8" t="s">
        <v>46</v>
      </c>
      <c r="F1808" s="6">
        <v>20000</v>
      </c>
      <c r="G1808" s="4">
        <v>2020</v>
      </c>
      <c r="H1808" s="4" t="s">
        <v>361</v>
      </c>
    </row>
    <row r="1809" spans="1:9" ht="15" customHeight="1" x14ac:dyDescent="0.2">
      <c r="A1809" s="4">
        <v>990</v>
      </c>
      <c r="B1809" s="4" t="str">
        <f t="shared" si="6"/>
        <v>William H Donner Foundation_State Policy Network202010000</v>
      </c>
      <c r="C1809" s="4" t="str">
        <f ca="1">IFERROR(__xludf.DUMMYFUNCTION("ARRAY_CONSTRAIN(ARRAYFORMULA(SINGLE(TEXTJOIN(""_"",TRUE,D1809,G1809))), 1, 1)"),"William H Donner Foundation_2020")</f>
        <v>William H Donner Foundation_2020</v>
      </c>
      <c r="D1809" s="4" t="s">
        <v>41</v>
      </c>
      <c r="E1809" s="8" t="s">
        <v>46</v>
      </c>
      <c r="F1809" s="6">
        <v>10000</v>
      </c>
      <c r="G1809" s="4">
        <v>2020</v>
      </c>
      <c r="H1809" s="4" t="s">
        <v>361</v>
      </c>
    </row>
    <row r="1810" spans="1:9" ht="15" customHeight="1" x14ac:dyDescent="0.2">
      <c r="A1810" s="4">
        <v>990</v>
      </c>
      <c r="B1810" s="4" t="str">
        <f t="shared" si="6"/>
        <v>William H Donner Foundation_State Policy Network201930000</v>
      </c>
      <c r="C1810" s="4" t="str">
        <f ca="1">IFERROR(__xludf.DUMMYFUNCTION("ARRAY_CONSTRAIN(ARRAYFORMULA(SINGLE(TEXTJOIN(""_"",TRUE,D1810,G1810))), 1, 1)"),"William H Donner Foundation_2019")</f>
        <v>William H Donner Foundation_2019</v>
      </c>
      <c r="D1810" s="4" t="s">
        <v>41</v>
      </c>
      <c r="E1810" s="8" t="s">
        <v>46</v>
      </c>
      <c r="F1810" s="6">
        <v>30000</v>
      </c>
      <c r="G1810" s="4">
        <v>2019</v>
      </c>
      <c r="H1810" s="4" t="s">
        <v>361</v>
      </c>
    </row>
    <row r="1811" spans="1:9" ht="15" customHeight="1" x14ac:dyDescent="0.2">
      <c r="A1811" s="4">
        <v>990</v>
      </c>
      <c r="B1811" s="4" t="str">
        <f t="shared" si="6"/>
        <v>William H Donner Foundation_State Policy Network201718000</v>
      </c>
      <c r="C1811" s="4" t="str">
        <f ca="1">IFERROR(__xludf.DUMMYFUNCTION("ARRAY_CONSTRAIN(ARRAYFORMULA(SINGLE(TEXTJOIN(""_"",TRUE,D1811,G1811))), 1, 1)"),"William H Donner Foundation_2017")</f>
        <v>William H Donner Foundation_2017</v>
      </c>
      <c r="D1811" s="4" t="s">
        <v>41</v>
      </c>
      <c r="E1811" s="8" t="s">
        <v>46</v>
      </c>
      <c r="F1811" s="6">
        <v>18000</v>
      </c>
      <c r="G1811" s="4">
        <v>2017</v>
      </c>
      <c r="H1811" s="4" t="s">
        <v>361</v>
      </c>
    </row>
    <row r="1812" spans="1:9" ht="15" customHeight="1" x14ac:dyDescent="0.2">
      <c r="A1812" s="4">
        <v>990</v>
      </c>
      <c r="B1812" s="4" t="str">
        <f t="shared" si="6"/>
        <v>William H Donner Foundation_State Policy Network201640000</v>
      </c>
      <c r="C1812" s="4" t="str">
        <f ca="1">IFERROR(__xludf.DUMMYFUNCTION("ARRAY_CONSTRAIN(ARRAYFORMULA(SINGLE(TEXTJOIN(""_"",TRUE,D1812,G1812))), 1, 1)"),"William H Donner Foundation_2016")</f>
        <v>William H Donner Foundation_2016</v>
      </c>
      <c r="D1812" s="4" t="s">
        <v>41</v>
      </c>
      <c r="E1812" s="8" t="s">
        <v>46</v>
      </c>
      <c r="F1812" s="6">
        <v>40000</v>
      </c>
      <c r="G1812" s="4">
        <v>2016</v>
      </c>
      <c r="H1812" s="4" t="s">
        <v>361</v>
      </c>
    </row>
    <row r="1813" spans="1:9" ht="15" customHeight="1" x14ac:dyDescent="0.2">
      <c r="A1813" s="4">
        <v>990</v>
      </c>
      <c r="B1813" s="4" t="str">
        <f t="shared" si="6"/>
        <v>William H Donner Foundation_State Policy Network201520000</v>
      </c>
      <c r="C1813" s="4" t="str">
        <f ca="1">IFERROR(__xludf.DUMMYFUNCTION("ARRAY_CONSTRAIN(ARRAYFORMULA(SINGLE(TEXTJOIN(""_"",TRUE,D1813,G1813))), 1, 1)"),"William H Donner Foundation_2015")</f>
        <v>William H Donner Foundation_2015</v>
      </c>
      <c r="D1813" s="4" t="s">
        <v>41</v>
      </c>
      <c r="E1813" s="8" t="s">
        <v>46</v>
      </c>
      <c r="F1813" s="6">
        <v>20000</v>
      </c>
      <c r="G1813" s="4">
        <v>2015</v>
      </c>
      <c r="H1813" s="4" t="s">
        <v>361</v>
      </c>
    </row>
    <row r="1814" spans="1:9" ht="15" customHeight="1" x14ac:dyDescent="0.2">
      <c r="A1814" s="4">
        <v>990</v>
      </c>
      <c r="B1814" s="4" t="str">
        <f t="shared" si="6"/>
        <v>William H Donner Foundation_State Policy Network20148429</v>
      </c>
      <c r="C1814" s="4" t="str">
        <f ca="1">IFERROR(__xludf.DUMMYFUNCTION("ARRAY_CONSTRAIN(ARRAYFORMULA(SINGLE(TEXTJOIN(""_"",TRUE,D1814,G1814))), 1, 1)"),"William H Donner Foundation_2014")</f>
        <v>William H Donner Foundation_2014</v>
      </c>
      <c r="D1814" s="4" t="s">
        <v>41</v>
      </c>
      <c r="E1814" s="8" t="s">
        <v>46</v>
      </c>
      <c r="F1814" s="6">
        <v>8429</v>
      </c>
      <c r="G1814" s="4">
        <v>2014</v>
      </c>
      <c r="H1814" s="4" t="s">
        <v>361</v>
      </c>
    </row>
    <row r="1815" spans="1:9" ht="15" customHeight="1" x14ac:dyDescent="0.2">
      <c r="A1815" s="4" t="s">
        <v>369</v>
      </c>
      <c r="B1815" s="4" t="str">
        <f t="shared" si="6"/>
        <v>William H Donner Foundation_State Policy Network20117500</v>
      </c>
      <c r="C1815" s="4" t="str">
        <f ca="1">IFERROR(__xludf.DUMMYFUNCTION("ARRAY_CONSTRAIN(ARRAYFORMULA(SINGLE(TEXTJOIN(""_"",TRUE,D1815,G1815))), 1, 1)"),"William H Donner Foundation_2011")</f>
        <v>William H Donner Foundation_2011</v>
      </c>
      <c r="D1815" s="4" t="s">
        <v>41</v>
      </c>
      <c r="E1815" s="8" t="s">
        <v>46</v>
      </c>
      <c r="F1815" s="6">
        <v>7500</v>
      </c>
      <c r="G1815" s="4">
        <v>2011</v>
      </c>
      <c r="H1815" s="4" t="s">
        <v>359</v>
      </c>
    </row>
    <row r="1816" spans="1:9" ht="15" customHeight="1" x14ac:dyDescent="0.2">
      <c r="A1816" s="4" t="s">
        <v>369</v>
      </c>
      <c r="B1816" s="4" t="str">
        <f t="shared" si="6"/>
        <v>William H Donner Foundation_State Policy Network200810000</v>
      </c>
      <c r="C1816" s="4" t="str">
        <f ca="1">IFERROR(__xludf.DUMMYFUNCTION("ARRAY_CONSTRAIN(ARRAYFORMULA(SINGLE(TEXTJOIN(""_"",TRUE,D1816,G1816))), 1, 1)"),"William H Donner Foundation_2008")</f>
        <v>William H Donner Foundation_2008</v>
      </c>
      <c r="D1816" s="4" t="s">
        <v>41</v>
      </c>
      <c r="E1816" s="8" t="s">
        <v>46</v>
      </c>
      <c r="F1816" s="6">
        <v>10000</v>
      </c>
      <c r="G1816" s="4">
        <v>2008</v>
      </c>
      <c r="H1816" s="4" t="s">
        <v>589</v>
      </c>
      <c r="I1816" s="4" t="s">
        <v>1075</v>
      </c>
    </row>
    <row r="1817" spans="1:9" ht="15" customHeight="1" x14ac:dyDescent="0.2">
      <c r="A1817" s="4" t="s">
        <v>369</v>
      </c>
      <c r="B1817" s="4" t="str">
        <f t="shared" si="6"/>
        <v>William H Donner Foundation_State Policy Network200715000</v>
      </c>
      <c r="C1817" s="4" t="str">
        <f ca="1">IFERROR(__xludf.DUMMYFUNCTION("ARRAY_CONSTRAIN(ARRAYFORMULA(SINGLE(TEXTJOIN(""_"",TRUE,D1817,G1817))), 1, 1)"),"William H Donner Foundation_2007")</f>
        <v>William H Donner Foundation_2007</v>
      </c>
      <c r="D1817" s="4" t="s">
        <v>41</v>
      </c>
      <c r="E1817" s="8" t="s">
        <v>46</v>
      </c>
      <c r="F1817" s="6">
        <v>15000</v>
      </c>
      <c r="G1817" s="4">
        <v>2007</v>
      </c>
      <c r="H1817" s="4" t="s">
        <v>359</v>
      </c>
    </row>
    <row r="1818" spans="1:9" ht="15" customHeight="1" x14ac:dyDescent="0.2">
      <c r="A1818" s="4" t="s">
        <v>369</v>
      </c>
      <c r="B1818" s="4" t="str">
        <f t="shared" si="6"/>
        <v>William H Donner Foundation_State Policy Network199821000</v>
      </c>
      <c r="C1818" s="4" t="str">
        <f ca="1">IFERROR(__xludf.DUMMYFUNCTION("ARRAY_CONSTRAIN(ARRAYFORMULA(SINGLE(TEXTJOIN(""_"",TRUE,D1818,G1818))), 1, 1)"),"William H Donner Foundation_1998")</f>
        <v>William H Donner Foundation_1998</v>
      </c>
      <c r="D1818" s="4" t="s">
        <v>41</v>
      </c>
      <c r="E1818" s="8" t="s">
        <v>46</v>
      </c>
      <c r="F1818" s="6">
        <v>21000</v>
      </c>
      <c r="G1818" s="4">
        <v>1998</v>
      </c>
      <c r="H1818" s="4" t="s">
        <v>359</v>
      </c>
    </row>
    <row r="1819" spans="1:9" ht="15" customHeight="1" x14ac:dyDescent="0.2">
      <c r="A1819" s="5" t="s">
        <v>1076</v>
      </c>
      <c r="B1819" s="4" t="str">
        <f t="shared" si="6"/>
        <v>William S &amp; Ann Atherton Foundation_State Policy Network20218000</v>
      </c>
      <c r="C1819" s="4" t="str">
        <f ca="1">IFERROR(__xludf.DUMMYFUNCTION("ARRAY_CONSTRAIN(ARRAYFORMULA(SINGLE(TEXTJOIN(""_"",TRUE,D1819,G1819))), 1, 1)"),"William S &amp; Ann Atherton Foundation_2021")</f>
        <v>William S &amp; Ann Atherton Foundation_2021</v>
      </c>
      <c r="D1819" s="4" t="s">
        <v>68</v>
      </c>
      <c r="E1819" s="8" t="s">
        <v>46</v>
      </c>
      <c r="F1819" s="6">
        <v>8000</v>
      </c>
      <c r="G1819" s="4">
        <v>2021</v>
      </c>
      <c r="H1819" s="4" t="s">
        <v>361</v>
      </c>
    </row>
    <row r="1820" spans="1:9" ht="15" customHeight="1" x14ac:dyDescent="0.2">
      <c r="A1820" s="5" t="s">
        <v>1077</v>
      </c>
      <c r="B1820" s="4" t="str">
        <f t="shared" si="6"/>
        <v>William S &amp; Ann Atherton Foundation_State Policy Network20208000</v>
      </c>
      <c r="C1820" s="4" t="str">
        <f ca="1">IFERROR(__xludf.DUMMYFUNCTION("ARRAY_CONSTRAIN(ARRAYFORMULA(SINGLE(TEXTJOIN(""_"",TRUE,D1820,G1820))), 1, 1)"),"William S &amp; Ann Atherton Foundation_2020")</f>
        <v>William S &amp; Ann Atherton Foundation_2020</v>
      </c>
      <c r="D1820" s="4" t="s">
        <v>68</v>
      </c>
      <c r="E1820" s="8" t="s">
        <v>46</v>
      </c>
      <c r="F1820" s="6">
        <v>8000</v>
      </c>
      <c r="G1820" s="4">
        <v>2020</v>
      </c>
      <c r="H1820" s="4" t="s">
        <v>361</v>
      </c>
    </row>
    <row r="1821" spans="1:9" ht="15" customHeight="1" x14ac:dyDescent="0.2">
      <c r="A1821" s="5" t="s">
        <v>1078</v>
      </c>
      <c r="B1821" s="4" t="str">
        <f t="shared" si="6"/>
        <v>William S &amp; Ann Atherton Foundation_State Policy Network20198000</v>
      </c>
      <c r="C1821" s="4" t="str">
        <f ca="1">IFERROR(__xludf.DUMMYFUNCTION("ARRAY_CONSTRAIN(ARRAYFORMULA(SINGLE(TEXTJOIN(""_"",TRUE,D1821,G1821))), 1, 1)"),"William S &amp; Ann Atherton Foundation_2019")</f>
        <v>William S &amp; Ann Atherton Foundation_2019</v>
      </c>
      <c r="D1821" s="4" t="s">
        <v>68</v>
      </c>
      <c r="E1821" s="8" t="s">
        <v>46</v>
      </c>
      <c r="F1821" s="6">
        <v>8000</v>
      </c>
      <c r="G1821" s="4">
        <v>2019</v>
      </c>
      <c r="H1821" s="4" t="s">
        <v>361</v>
      </c>
    </row>
    <row r="1822" spans="1:9" ht="15" customHeight="1" x14ac:dyDescent="0.2">
      <c r="A1822" s="5" t="s">
        <v>1079</v>
      </c>
      <c r="B1822" s="4" t="str">
        <f t="shared" si="6"/>
        <v>William S &amp; Ann Atherton Foundation_State Policy Network20188000</v>
      </c>
      <c r="C1822" s="4" t="str">
        <f ca="1">IFERROR(__xludf.DUMMYFUNCTION("ARRAY_CONSTRAIN(ARRAYFORMULA(SINGLE(TEXTJOIN(""_"",TRUE,D1822,G1822))), 1, 1)"),"William S &amp; Ann Atherton Foundation_2018")</f>
        <v>William S &amp; Ann Atherton Foundation_2018</v>
      </c>
      <c r="D1822" s="4" t="s">
        <v>68</v>
      </c>
      <c r="E1822" s="8" t="s">
        <v>46</v>
      </c>
      <c r="F1822" s="6">
        <v>8000</v>
      </c>
      <c r="G1822" s="4">
        <v>2018</v>
      </c>
      <c r="H1822" s="4" t="s">
        <v>361</v>
      </c>
    </row>
    <row r="1823" spans="1:9" ht="15" customHeight="1" x14ac:dyDescent="0.2">
      <c r="A1823" s="5" t="s">
        <v>1080</v>
      </c>
      <c r="B1823" s="4" t="str">
        <f t="shared" si="6"/>
        <v>William S &amp; Ann Atherton Foundation_State Policy Network20178000</v>
      </c>
      <c r="C1823" s="4" t="str">
        <f ca="1">IFERROR(__xludf.DUMMYFUNCTION("ARRAY_CONSTRAIN(ARRAYFORMULA(SINGLE(TEXTJOIN(""_"",TRUE,D1823,G1823))), 1, 1)"),"William S &amp; Ann Atherton Foundation_2017")</f>
        <v>William S &amp; Ann Atherton Foundation_2017</v>
      </c>
      <c r="D1823" s="4" t="s">
        <v>68</v>
      </c>
      <c r="E1823" s="8" t="s">
        <v>46</v>
      </c>
      <c r="F1823" s="6">
        <v>8000</v>
      </c>
      <c r="G1823" s="4">
        <v>2017</v>
      </c>
      <c r="H1823" s="4" t="s">
        <v>361</v>
      </c>
    </row>
    <row r="1824" spans="1:9" ht="15" customHeight="1" x14ac:dyDescent="0.2">
      <c r="A1824" s="5" t="s">
        <v>1081</v>
      </c>
      <c r="B1824" s="4" t="str">
        <f t="shared" si="6"/>
        <v>William S &amp; Ann Atherton Foundation_State Policy Network20168000</v>
      </c>
      <c r="C1824" s="4" t="str">
        <f ca="1">IFERROR(__xludf.DUMMYFUNCTION("ARRAY_CONSTRAIN(ARRAYFORMULA(SINGLE(TEXTJOIN(""_"",TRUE,D1824,G1824))), 1, 1)"),"William S &amp; Ann Atherton Foundation_2016")</f>
        <v>William S &amp; Ann Atherton Foundation_2016</v>
      </c>
      <c r="D1824" s="4" t="s">
        <v>68</v>
      </c>
      <c r="E1824" s="8" t="s">
        <v>46</v>
      </c>
      <c r="F1824" s="6">
        <v>8000</v>
      </c>
      <c r="G1824" s="4">
        <v>2016</v>
      </c>
      <c r="H1824" s="4" t="s">
        <v>361</v>
      </c>
    </row>
    <row r="1825" spans="1:8" ht="15" customHeight="1" x14ac:dyDescent="0.2">
      <c r="A1825" s="5" t="s">
        <v>1082</v>
      </c>
      <c r="B1825" s="4" t="str">
        <f t="shared" si="6"/>
        <v>William S &amp; Ann Atherton Foundation_State Policy Network20155000</v>
      </c>
      <c r="C1825" s="4" t="str">
        <f ca="1">IFERROR(__xludf.DUMMYFUNCTION("ARRAY_CONSTRAIN(ARRAYFORMULA(SINGLE(TEXTJOIN(""_"",TRUE,D1825,G1825))), 1, 1)"),"William S &amp; Ann Atherton Foundation_2015")</f>
        <v>William S &amp; Ann Atherton Foundation_2015</v>
      </c>
      <c r="D1825" s="4" t="s">
        <v>68</v>
      </c>
      <c r="E1825" s="8" t="s">
        <v>46</v>
      </c>
      <c r="F1825" s="6">
        <v>5000</v>
      </c>
      <c r="G1825" s="4">
        <v>2015</v>
      </c>
      <c r="H1825" s="4" t="s">
        <v>361</v>
      </c>
    </row>
    <row r="1826" spans="1:8" ht="15" customHeight="1" x14ac:dyDescent="0.2">
      <c r="A1826" s="5" t="s">
        <v>1083</v>
      </c>
      <c r="B1826" s="4" t="str">
        <f t="shared" si="6"/>
        <v>William S &amp; Ann Atherton Foundation_State Policy Network20141000</v>
      </c>
      <c r="C1826" s="4" t="str">
        <f ca="1">IFERROR(__xludf.DUMMYFUNCTION("ARRAY_CONSTRAIN(ARRAYFORMULA(SINGLE(TEXTJOIN(""_"",TRUE,D1826,G1826))), 1, 1)"),"William S &amp; Ann Atherton Foundation_2014")</f>
        <v>William S &amp; Ann Atherton Foundation_2014</v>
      </c>
      <c r="D1826" s="4" t="s">
        <v>68</v>
      </c>
      <c r="E1826" s="8" t="s">
        <v>46</v>
      </c>
      <c r="F1826" s="6">
        <v>1000</v>
      </c>
      <c r="G1826" s="4">
        <v>2014</v>
      </c>
      <c r="H1826" s="4" t="s">
        <v>361</v>
      </c>
    </row>
    <row r="1827" spans="1:8" ht="15" customHeight="1" x14ac:dyDescent="0.2">
      <c r="A1827" s="5" t="s">
        <v>1084</v>
      </c>
      <c r="B1827" s="4" t="str">
        <f t="shared" si="6"/>
        <v>William S &amp; Ann Atherton Foundation_State Policy Network2013500</v>
      </c>
      <c r="C1827" s="4" t="str">
        <f ca="1">IFERROR(__xludf.DUMMYFUNCTION("ARRAY_CONSTRAIN(ARRAYFORMULA(SINGLE(TEXTJOIN(""_"",TRUE,D1827,G1827))), 1, 1)"),"William S &amp; Ann Atherton Foundation_2013")</f>
        <v>William S &amp; Ann Atherton Foundation_2013</v>
      </c>
      <c r="D1827" s="4" t="s">
        <v>68</v>
      </c>
      <c r="E1827" s="8" t="s">
        <v>46</v>
      </c>
      <c r="F1827" s="6">
        <v>500</v>
      </c>
      <c r="G1827" s="4">
        <v>2013</v>
      </c>
      <c r="H1827" s="4" t="s">
        <v>361</v>
      </c>
    </row>
    <row r="1828" spans="1:8" ht="15" customHeight="1" x14ac:dyDescent="0.2">
      <c r="A1828" s="5" t="s">
        <v>1085</v>
      </c>
      <c r="B1828" s="4" t="str">
        <f t="shared" si="6"/>
        <v>William S &amp; Ann Atherton Foundation_State Policy Network2012500</v>
      </c>
      <c r="C1828" s="4" t="str">
        <f ca="1">IFERROR(__xludf.DUMMYFUNCTION("ARRAY_CONSTRAIN(ARRAYFORMULA(SINGLE(TEXTJOIN(""_"",TRUE,D1828,G1828))), 1, 1)"),"William S &amp; Ann Atherton Foundation_2012")</f>
        <v>William S &amp; Ann Atherton Foundation_2012</v>
      </c>
      <c r="D1828" s="4" t="s">
        <v>68</v>
      </c>
      <c r="E1828" s="8" t="s">
        <v>46</v>
      </c>
      <c r="F1828" s="6">
        <v>500</v>
      </c>
      <c r="G1828" s="4">
        <v>2012</v>
      </c>
      <c r="H1828" s="4" t="s">
        <v>361</v>
      </c>
    </row>
    <row r="1829" spans="1:8" ht="15" customHeight="1" x14ac:dyDescent="0.2">
      <c r="A1829" s="5" t="s">
        <v>1086</v>
      </c>
      <c r="B1829" s="4" t="str">
        <f t="shared" si="6"/>
        <v>William S &amp; Ann Atherton Foundation_State Policy Network2011750</v>
      </c>
      <c r="C1829" s="4" t="str">
        <f ca="1">IFERROR(__xludf.DUMMYFUNCTION("ARRAY_CONSTRAIN(ARRAYFORMULA(SINGLE(TEXTJOIN(""_"",TRUE,D1829,G1829))), 1, 1)"),"William S &amp; Ann Atherton Foundation_2011")</f>
        <v>William S &amp; Ann Atherton Foundation_2011</v>
      </c>
      <c r="D1829" s="4" t="s">
        <v>68</v>
      </c>
      <c r="E1829" s="8" t="s">
        <v>46</v>
      </c>
      <c r="F1829" s="6">
        <v>750</v>
      </c>
      <c r="G1829" s="4">
        <v>2011</v>
      </c>
      <c r="H1829" s="4" t="s">
        <v>361</v>
      </c>
    </row>
    <row r="1830" spans="1:8" ht="15" customHeight="1" x14ac:dyDescent="0.2">
      <c r="A1830" s="5" t="s">
        <v>1087</v>
      </c>
      <c r="B1830" s="4" t="str">
        <f t="shared" si="6"/>
        <v>William S &amp; Ann Atherton Foundation_State Policy Network2010750</v>
      </c>
      <c r="C1830" s="4" t="str">
        <f ca="1">IFERROR(__xludf.DUMMYFUNCTION("ARRAY_CONSTRAIN(ARRAYFORMULA(SINGLE(TEXTJOIN(""_"",TRUE,D1830,G1830))), 1, 1)"),"William S &amp; Ann Atherton Foundation_2010")</f>
        <v>William S &amp; Ann Atherton Foundation_2010</v>
      </c>
      <c r="D1830" s="4" t="s">
        <v>68</v>
      </c>
      <c r="E1830" s="8" t="s">
        <v>46</v>
      </c>
      <c r="F1830" s="6">
        <v>750</v>
      </c>
      <c r="G1830" s="4">
        <v>2010</v>
      </c>
      <c r="H1830" s="4" t="s">
        <v>361</v>
      </c>
    </row>
    <row r="1831" spans="1:8" ht="15" customHeight="1" x14ac:dyDescent="0.2">
      <c r="A1831" s="5" t="s">
        <v>1088</v>
      </c>
      <c r="B1831" s="4" t="str">
        <f t="shared" si="6"/>
        <v>William S &amp; Ann Atherton Foundation_State Policy Network2009500</v>
      </c>
      <c r="C1831" s="4" t="str">
        <f ca="1">IFERROR(__xludf.DUMMYFUNCTION("ARRAY_CONSTRAIN(ARRAYFORMULA(SINGLE(TEXTJOIN(""_"",TRUE,D1831,G1831))), 1, 1)"),"William S &amp; Ann Atherton Foundation_2009")</f>
        <v>William S &amp; Ann Atherton Foundation_2009</v>
      </c>
      <c r="D1831" s="4" t="s">
        <v>68</v>
      </c>
      <c r="E1831" s="8" t="s">
        <v>46</v>
      </c>
      <c r="F1831" s="6">
        <v>500</v>
      </c>
      <c r="G1831" s="4">
        <v>2009</v>
      </c>
      <c r="H1831" s="4" t="s">
        <v>361</v>
      </c>
    </row>
    <row r="1832" spans="1:8" ht="15" customHeight="1" x14ac:dyDescent="0.2">
      <c r="A1832" s="5" t="s">
        <v>1089</v>
      </c>
      <c r="B1832" s="4" t="str">
        <f t="shared" si="6"/>
        <v>William S &amp; Ann Atherton Foundation_State Policy Network2008500</v>
      </c>
      <c r="C1832" s="4" t="str">
        <f ca="1">IFERROR(__xludf.DUMMYFUNCTION("ARRAY_CONSTRAIN(ARRAYFORMULA(SINGLE(TEXTJOIN(""_"",TRUE,D1832,G1832))), 1, 1)"),"William S &amp; Ann Atherton Foundation_2008")</f>
        <v>William S &amp; Ann Atherton Foundation_2008</v>
      </c>
      <c r="D1832" s="4" t="s">
        <v>68</v>
      </c>
      <c r="E1832" s="8" t="s">
        <v>46</v>
      </c>
      <c r="F1832" s="6">
        <v>500</v>
      </c>
      <c r="G1832" s="4">
        <v>2008</v>
      </c>
      <c r="H1832" s="4" t="s">
        <v>361</v>
      </c>
    </row>
    <row r="1833" spans="1:8" ht="15" customHeight="1" x14ac:dyDescent="0.2">
      <c r="A1833" s="4">
        <v>990</v>
      </c>
      <c r="B1833" s="4" t="str">
        <f t="shared" si="6"/>
        <v>Wodecroft Foundation_State Policy Network201515000</v>
      </c>
      <c r="C1833" s="4" t="str">
        <f ca="1">IFERROR(__xludf.DUMMYFUNCTION("ARRAY_CONSTRAIN(ARRAYFORMULA(SINGLE(TEXTJOIN(""_"",TRUE,D1833,G1833))), 1, 1)"),"Wodecroft Foundation_2015")</f>
        <v>Wodecroft Foundation_2015</v>
      </c>
      <c r="D1833" s="4" t="s">
        <v>89</v>
      </c>
      <c r="E1833" s="8" t="s">
        <v>46</v>
      </c>
      <c r="F1833" s="6">
        <v>15000</v>
      </c>
      <c r="G1833" s="4">
        <v>2015</v>
      </c>
      <c r="H1833" s="4" t="s">
        <v>361</v>
      </c>
    </row>
    <row r="1834" spans="1:8" ht="15" customHeight="1" x14ac:dyDescent="0.2">
      <c r="A1834" s="4">
        <v>990</v>
      </c>
      <c r="B1834" s="4" t="str">
        <f t="shared" si="6"/>
        <v>Wodecroft Foundation_State Policy Network201410000</v>
      </c>
      <c r="C1834" s="4" t="str">
        <f ca="1">IFERROR(__xludf.DUMMYFUNCTION("ARRAY_CONSTRAIN(ARRAYFORMULA(SINGLE(TEXTJOIN(""_"",TRUE,D1834,G1834))), 1, 1)"),"Wodecroft Foundation_2014")</f>
        <v>Wodecroft Foundation_2014</v>
      </c>
      <c r="D1834" s="4" t="s">
        <v>89</v>
      </c>
      <c r="E1834" s="8" t="s">
        <v>46</v>
      </c>
      <c r="F1834" s="6">
        <v>10000</v>
      </c>
      <c r="G1834" s="4">
        <v>2014</v>
      </c>
      <c r="H1834" s="4" t="s">
        <v>361</v>
      </c>
    </row>
    <row r="1835" spans="1:8" ht="15" customHeight="1" x14ac:dyDescent="0.2">
      <c r="A1835" s="4">
        <v>990</v>
      </c>
      <c r="B1835" s="4" t="str">
        <f t="shared" si="6"/>
        <v>Wodecroft Foundation_State Policy Network20131000</v>
      </c>
      <c r="C1835" s="4" t="str">
        <f ca="1">IFERROR(__xludf.DUMMYFUNCTION("ARRAY_CONSTRAIN(ARRAYFORMULA(SINGLE(TEXTJOIN(""_"",TRUE,D1835,G1835))), 1, 1)"),"Wodecroft Foundation_2013")</f>
        <v>Wodecroft Foundation_2013</v>
      </c>
      <c r="D1835" s="4" t="s">
        <v>89</v>
      </c>
      <c r="E1835" s="8" t="s">
        <v>46</v>
      </c>
      <c r="F1835" s="6">
        <v>1000</v>
      </c>
      <c r="G1835" s="4">
        <v>2013</v>
      </c>
      <c r="H1835" s="4" t="s">
        <v>361</v>
      </c>
    </row>
    <row r="1836" spans="1:8" ht="15" customHeight="1" x14ac:dyDescent="0.2">
      <c r="A1836" s="4">
        <v>990</v>
      </c>
      <c r="B1836" s="4" t="str">
        <f t="shared" si="6"/>
        <v>Woodford Foundation for Limited Government_State Policy Network202110000</v>
      </c>
      <c r="C1836" s="4" t="str">
        <f ca="1">IFERROR(__xludf.DUMMYFUNCTION("ARRAY_CONSTRAIN(ARRAYFORMULA(SINGLE(TEXTJOIN(""_"",TRUE,D1836,G1836))), 1, 1)"),"Woodford Foundation for Limited Government_2021")</f>
        <v>Woodford Foundation for Limited Government_2021</v>
      </c>
      <c r="D1836" s="4" t="s">
        <v>49</v>
      </c>
      <c r="E1836" s="8" t="s">
        <v>46</v>
      </c>
      <c r="F1836" s="6">
        <v>10000</v>
      </c>
      <c r="G1836" s="4">
        <v>2021</v>
      </c>
      <c r="H1836" s="4" t="s">
        <v>361</v>
      </c>
    </row>
    <row r="1837" spans="1:8" ht="15" customHeight="1" x14ac:dyDescent="0.2">
      <c r="A1837" s="4">
        <v>990</v>
      </c>
      <c r="B1837" s="4" t="str">
        <f t="shared" si="6"/>
        <v>Woodford Foundation for Limited Government_State Policy Network202010000</v>
      </c>
      <c r="C1837" s="4" t="str">
        <f ca="1">IFERROR(__xludf.DUMMYFUNCTION("ARRAY_CONSTRAIN(ARRAYFORMULA(SINGLE(TEXTJOIN(""_"",TRUE,D1837,G1837))), 1, 1)"),"Woodford Foundation for Limited Government_2020")</f>
        <v>Woodford Foundation for Limited Government_2020</v>
      </c>
      <c r="D1837" s="4" t="s">
        <v>49</v>
      </c>
      <c r="E1837" s="8" t="s">
        <v>46</v>
      </c>
      <c r="F1837" s="6">
        <v>10000</v>
      </c>
      <c r="G1837" s="4">
        <v>2020</v>
      </c>
      <c r="H1837" s="4" t="s">
        <v>361</v>
      </c>
    </row>
    <row r="1838" spans="1:8" ht="15" customHeight="1" x14ac:dyDescent="0.2">
      <c r="A1838" s="4">
        <v>990</v>
      </c>
      <c r="B1838" s="4" t="str">
        <f t="shared" si="6"/>
        <v>Woodford Foundation for Limited Government_State Policy Network201910000</v>
      </c>
      <c r="C1838" s="4" t="str">
        <f ca="1">IFERROR(__xludf.DUMMYFUNCTION("ARRAY_CONSTRAIN(ARRAYFORMULA(SINGLE(TEXTJOIN(""_"",TRUE,D1838,G1838))), 1, 1)"),"Woodford Foundation for Limited Government_2019")</f>
        <v>Woodford Foundation for Limited Government_2019</v>
      </c>
      <c r="D1838" s="4" t="s">
        <v>49</v>
      </c>
      <c r="E1838" s="8" t="s">
        <v>46</v>
      </c>
      <c r="F1838" s="6">
        <v>10000</v>
      </c>
      <c r="G1838" s="4">
        <v>2019</v>
      </c>
      <c r="H1838" s="4" t="s">
        <v>361</v>
      </c>
    </row>
    <row r="1839" spans="1:8" ht="15" customHeight="1" x14ac:dyDescent="0.2">
      <c r="A1839" s="4">
        <v>990</v>
      </c>
      <c r="B1839" s="4" t="str">
        <f t="shared" si="6"/>
        <v>Woodford Foundation for Limited Government_State Policy Network201810000</v>
      </c>
      <c r="C1839" s="4" t="str">
        <f ca="1">IFERROR(__xludf.DUMMYFUNCTION("ARRAY_CONSTRAIN(ARRAYFORMULA(SINGLE(TEXTJOIN(""_"",TRUE,D1839,G1839))), 1, 1)"),"Woodford Foundation for Limited Government_2018")</f>
        <v>Woodford Foundation for Limited Government_2018</v>
      </c>
      <c r="D1839" s="4" t="s">
        <v>49</v>
      </c>
      <c r="E1839" s="8" t="s">
        <v>46</v>
      </c>
      <c r="F1839" s="6">
        <v>10000</v>
      </c>
      <c r="G1839" s="4">
        <v>2018</v>
      </c>
      <c r="H1839" s="4" t="s">
        <v>361</v>
      </c>
    </row>
    <row r="1840" spans="1:8" ht="15" customHeight="1" x14ac:dyDescent="0.2">
      <c r="A1840" s="4">
        <v>990</v>
      </c>
      <c r="B1840" s="4" t="str">
        <f t="shared" si="6"/>
        <v>Woodford Foundation for Limited Government_State Policy Network201710000</v>
      </c>
      <c r="C1840" s="4" t="str">
        <f ca="1">IFERROR(__xludf.DUMMYFUNCTION("ARRAY_CONSTRAIN(ARRAYFORMULA(SINGLE(TEXTJOIN(""_"",TRUE,D1840,G1840))), 1, 1)"),"Woodford Foundation for Limited Government_2017")</f>
        <v>Woodford Foundation for Limited Government_2017</v>
      </c>
      <c r="D1840" s="4" t="s">
        <v>49</v>
      </c>
      <c r="E1840" s="8" t="s">
        <v>46</v>
      </c>
      <c r="F1840" s="6">
        <v>10000</v>
      </c>
      <c r="G1840" s="4">
        <v>2017</v>
      </c>
      <c r="H1840" s="4" t="s">
        <v>361</v>
      </c>
    </row>
    <row r="1841" spans="1:8" ht="15" customHeight="1" x14ac:dyDescent="0.2">
      <c r="A1841" s="4">
        <v>990</v>
      </c>
      <c r="B1841" s="4" t="str">
        <f t="shared" si="6"/>
        <v>Woodford Foundation for Limited Government_State Policy Network201610000</v>
      </c>
      <c r="C1841" s="4" t="str">
        <f ca="1">IFERROR(__xludf.DUMMYFUNCTION("ARRAY_CONSTRAIN(ARRAYFORMULA(SINGLE(TEXTJOIN(""_"",TRUE,D1841,G1841))), 1, 1)"),"Woodford Foundation for Limited Government_2016")</f>
        <v>Woodford Foundation for Limited Government_2016</v>
      </c>
      <c r="D1841" s="4" t="s">
        <v>49</v>
      </c>
      <c r="E1841" s="8" t="s">
        <v>46</v>
      </c>
      <c r="F1841" s="6">
        <v>10000</v>
      </c>
      <c r="G1841" s="4">
        <v>2016</v>
      </c>
      <c r="H1841" s="4" t="s">
        <v>361</v>
      </c>
    </row>
    <row r="1842" spans="1:8" ht="15" customHeight="1" x14ac:dyDescent="0.2">
      <c r="A1842" s="4">
        <v>990</v>
      </c>
      <c r="B1842" s="4" t="str">
        <f t="shared" si="6"/>
        <v>Woodford Foundation for Limited Government_State Policy Network201510000</v>
      </c>
      <c r="C1842" s="4" t="str">
        <f ca="1">IFERROR(__xludf.DUMMYFUNCTION("ARRAY_CONSTRAIN(ARRAYFORMULA(SINGLE(TEXTJOIN(""_"",TRUE,D1842,G1842))), 1, 1)"),"Woodford Foundation for Limited Government_2015")</f>
        <v>Woodford Foundation for Limited Government_2015</v>
      </c>
      <c r="D1842" s="4" t="s">
        <v>49</v>
      </c>
      <c r="E1842" s="8" t="s">
        <v>46</v>
      </c>
      <c r="F1842" s="6">
        <v>10000</v>
      </c>
      <c r="G1842" s="4">
        <v>2015</v>
      </c>
      <c r="H1842" s="4" t="s">
        <v>361</v>
      </c>
    </row>
    <row r="1843" spans="1:8" ht="15" customHeight="1" x14ac:dyDescent="0.2">
      <c r="A1843" s="4">
        <v>990</v>
      </c>
      <c r="B1843" s="4" t="str">
        <f t="shared" si="6"/>
        <v>Woodford Foundation for Limited Government_State Policy Network20145000</v>
      </c>
      <c r="C1843" s="4" t="str">
        <f ca="1">IFERROR(__xludf.DUMMYFUNCTION("ARRAY_CONSTRAIN(ARRAYFORMULA(SINGLE(TEXTJOIN(""_"",TRUE,D1843,G1843))), 1, 1)"),"Woodford Foundation for Limited Government_2014")</f>
        <v>Woodford Foundation for Limited Government_2014</v>
      </c>
      <c r="D1843" s="4" t="s">
        <v>49</v>
      </c>
      <c r="E1843" s="8" t="s">
        <v>46</v>
      </c>
      <c r="F1843" s="6">
        <v>5000</v>
      </c>
      <c r="G1843" s="4">
        <v>2014</v>
      </c>
      <c r="H1843" s="4" t="s">
        <v>361</v>
      </c>
    </row>
    <row r="1844" spans="1:8" ht="15" customHeight="1" x14ac:dyDescent="0.2">
      <c r="A1844" s="4">
        <v>990</v>
      </c>
      <c r="B1844" s="4" t="str">
        <f t="shared" si="6"/>
        <v>Woodford Foundation for Limited Government_State Policy Network20135000</v>
      </c>
      <c r="C1844" s="4" t="str">
        <f ca="1">IFERROR(__xludf.DUMMYFUNCTION("ARRAY_CONSTRAIN(ARRAYFORMULA(SINGLE(TEXTJOIN(""_"",TRUE,D1844,G1844))), 1, 1)"),"Woodford Foundation for Limited Government_2013")</f>
        <v>Woodford Foundation for Limited Government_2013</v>
      </c>
      <c r="D1844" s="4" t="s">
        <v>49</v>
      </c>
      <c r="E1844" s="8" t="s">
        <v>46</v>
      </c>
      <c r="F1844" s="6">
        <v>5000</v>
      </c>
      <c r="G1844" s="4">
        <v>2013</v>
      </c>
      <c r="H1844" s="4" t="s">
        <v>361</v>
      </c>
    </row>
    <row r="1845" spans="1:8" ht="15" customHeight="1" x14ac:dyDescent="0.2">
      <c r="A1845" s="4">
        <v>990</v>
      </c>
      <c r="B1845" s="4" t="str">
        <f t="shared" si="6"/>
        <v>Woodford Foundation for Limited Government_State Policy Network201210000</v>
      </c>
      <c r="C1845" s="4" t="str">
        <f ca="1">IFERROR(__xludf.DUMMYFUNCTION("ARRAY_CONSTRAIN(ARRAYFORMULA(SINGLE(TEXTJOIN(""_"",TRUE,D1845,G1845))), 1, 1)"),"Woodford Foundation for Limited Government_2012")</f>
        <v>Woodford Foundation for Limited Government_2012</v>
      </c>
      <c r="D1845" s="4" t="s">
        <v>49</v>
      </c>
      <c r="E1845" s="8" t="s">
        <v>46</v>
      </c>
      <c r="F1845" s="6">
        <v>10000</v>
      </c>
      <c r="G1845" s="4">
        <v>2012</v>
      </c>
      <c r="H1845" s="4" t="s">
        <v>361</v>
      </c>
    </row>
    <row r="1846" spans="1:8" ht="15.75" customHeight="1" x14ac:dyDescent="0.2">
      <c r="A1846" s="4">
        <v>990</v>
      </c>
      <c r="B1846" s="4" t="str">
        <f t="shared" si="6"/>
        <v>Woodford Foundation for Limited Government_State Policy Network20116000</v>
      </c>
      <c r="C1846" s="4" t="str">
        <f ca="1">IFERROR(__xludf.DUMMYFUNCTION("ARRAY_CONSTRAIN(ARRAYFORMULA(SINGLE(TEXTJOIN(""_"",TRUE,D1846,G1846))), 1, 1)"),"Woodford Foundation for Limited Government_2011")</f>
        <v>Woodford Foundation for Limited Government_2011</v>
      </c>
      <c r="D1846" s="4" t="s">
        <v>49</v>
      </c>
      <c r="E1846" s="8" t="s">
        <v>46</v>
      </c>
      <c r="F1846" s="6">
        <v>6000</v>
      </c>
      <c r="G1846" s="4">
        <v>2011</v>
      </c>
      <c r="H1846" s="4" t="s">
        <v>361</v>
      </c>
    </row>
    <row r="1847" spans="1:8" ht="15" customHeight="1" x14ac:dyDescent="0.2">
      <c r="A1847" s="4">
        <v>990</v>
      </c>
      <c r="B1847" s="4" t="str">
        <f t="shared" si="6"/>
        <v>Woodford Foundation for Limited Government_State Policy Network20101000</v>
      </c>
      <c r="C1847" s="4" t="str">
        <f ca="1">IFERROR(__xludf.DUMMYFUNCTION("ARRAY_CONSTRAIN(ARRAYFORMULA(SINGLE(TEXTJOIN(""_"",TRUE,D1847,G1847))), 1, 1)"),"Woodford Foundation for Limited Government_2010")</f>
        <v>Woodford Foundation for Limited Government_2010</v>
      </c>
      <c r="D1847" s="4" t="s">
        <v>49</v>
      </c>
      <c r="E1847" s="8" t="s">
        <v>46</v>
      </c>
      <c r="F1847" s="6">
        <v>1000</v>
      </c>
      <c r="G1847" s="4">
        <v>2010</v>
      </c>
      <c r="H1847" s="4" t="s">
        <v>361</v>
      </c>
    </row>
    <row r="1848" spans="1:8" ht="15" customHeight="1" x14ac:dyDescent="0.2">
      <c r="A1848" s="4">
        <v>990</v>
      </c>
      <c r="B1848" s="4" t="str">
        <f t="shared" si="6"/>
        <v>Woodford Foundation for Limited Government_State Policy Network20091000</v>
      </c>
      <c r="C1848" s="4" t="str">
        <f ca="1">IFERROR(__xludf.DUMMYFUNCTION("ARRAY_CONSTRAIN(ARRAYFORMULA(SINGLE(TEXTJOIN(""_"",TRUE,D1848,G1848))), 1, 1)"),"Woodford Foundation for Limited Government_2009")</f>
        <v>Woodford Foundation for Limited Government_2009</v>
      </c>
      <c r="D1848" s="4" t="s">
        <v>49</v>
      </c>
      <c r="E1848" s="8" t="s">
        <v>46</v>
      </c>
      <c r="F1848" s="6">
        <v>1000</v>
      </c>
      <c r="G1848" s="4">
        <v>2009</v>
      </c>
      <c r="H1848" s="4" t="s">
        <v>361</v>
      </c>
    </row>
    <row r="1849" spans="1:8" ht="15" customHeight="1" x14ac:dyDescent="0.2">
      <c r="A1849" s="4">
        <v>990</v>
      </c>
      <c r="B1849" s="4" t="str">
        <f t="shared" si="6"/>
        <v>Woodford Foundation for Limited Government_State Policy Network20081000</v>
      </c>
      <c r="C1849" s="4" t="str">
        <f ca="1">IFERROR(__xludf.DUMMYFUNCTION("ARRAY_CONSTRAIN(ARRAYFORMULA(SINGLE(TEXTJOIN(""_"",TRUE,D1849,G1849))), 1, 1)"),"Woodford Foundation for Limited Government_2008")</f>
        <v>Woodford Foundation for Limited Government_2008</v>
      </c>
      <c r="D1849" s="4" t="s">
        <v>49</v>
      </c>
      <c r="E1849" s="8" t="s">
        <v>46</v>
      </c>
      <c r="F1849" s="6">
        <v>1000</v>
      </c>
      <c r="G1849" s="4">
        <v>2008</v>
      </c>
      <c r="H1849" s="4" t="s">
        <v>361</v>
      </c>
    </row>
    <row r="1850" spans="1:8" ht="15" customHeight="1" x14ac:dyDescent="0.2">
      <c r="A1850" s="4">
        <v>990</v>
      </c>
      <c r="B1850" s="4" t="str">
        <f t="shared" si="6"/>
        <v>Woodford Foundation for Limited Government_State Policy Network20071000</v>
      </c>
      <c r="C1850" s="4" t="str">
        <f ca="1">IFERROR(__xludf.DUMMYFUNCTION("ARRAY_CONSTRAIN(ARRAYFORMULA(SINGLE(TEXTJOIN(""_"",TRUE,D1850,G1850))), 1, 1)"),"Woodford Foundation for Limited Government_2007")</f>
        <v>Woodford Foundation for Limited Government_2007</v>
      </c>
      <c r="D1850" s="4" t="s">
        <v>49</v>
      </c>
      <c r="E1850" s="8" t="s">
        <v>46</v>
      </c>
      <c r="F1850" s="6">
        <v>1000</v>
      </c>
      <c r="G1850" s="4">
        <v>2007</v>
      </c>
      <c r="H1850" s="4" t="s">
        <v>361</v>
      </c>
    </row>
    <row r="1851" spans="1:8" ht="15" customHeight="1" x14ac:dyDescent="0.2">
      <c r="A1851" s="5" t="s">
        <v>1090</v>
      </c>
      <c r="B1851" s="4" t="str">
        <f t="shared" si="6"/>
        <v>Yarbrough Family Foundation_State Policy Network202225000</v>
      </c>
      <c r="C1851" s="4" t="str">
        <f ca="1">IFERROR(__xludf.DUMMYFUNCTION("ARRAY_CONSTRAIN(ARRAYFORMULA(SINGLE(TEXTJOIN(""_"",TRUE,D1851,G1851))), 1, 1)"),"Yarbrough Family Foundation_2022")</f>
        <v>Yarbrough Family Foundation_2022</v>
      </c>
      <c r="D1851" s="4" t="s">
        <v>66</v>
      </c>
      <c r="E1851" s="8" t="s">
        <v>46</v>
      </c>
      <c r="F1851" s="6">
        <v>25000</v>
      </c>
      <c r="G1851" s="4">
        <v>2022</v>
      </c>
      <c r="H1851" s="4" t="s">
        <v>361</v>
      </c>
    </row>
    <row r="1852" spans="1:8" ht="15" customHeight="1" x14ac:dyDescent="0.2">
      <c r="A1852" s="5" t="s">
        <v>1091</v>
      </c>
      <c r="B1852" s="4" t="str">
        <f t="shared" si="6"/>
        <v>Yarbrough Family Foundation_State Policy Network202125000</v>
      </c>
      <c r="C1852" s="4" t="str">
        <f ca="1">IFERROR(__xludf.DUMMYFUNCTION("ARRAY_CONSTRAIN(ARRAYFORMULA(SINGLE(TEXTJOIN(""_"",TRUE,D1852,G1852))), 1, 1)"),"Yarbrough Family Foundation_2021")</f>
        <v>Yarbrough Family Foundation_2021</v>
      </c>
      <c r="D1852" s="4" t="s">
        <v>66</v>
      </c>
      <c r="E1852" s="8" t="s">
        <v>46</v>
      </c>
      <c r="F1852" s="6">
        <v>25000</v>
      </c>
      <c r="G1852" s="4">
        <v>2021</v>
      </c>
      <c r="H1852" s="4" t="s">
        <v>361</v>
      </c>
    </row>
    <row r="1853" spans="1:8" ht="15" customHeight="1" x14ac:dyDescent="0.2">
      <c r="A1853" s="5" t="s">
        <v>1092</v>
      </c>
      <c r="B1853" s="4" t="str">
        <f t="shared" si="6"/>
        <v>Yarbrough Family Foundation_State Policy Network202010000</v>
      </c>
      <c r="C1853" s="4" t="str">
        <f ca="1">IFERROR(__xludf.DUMMYFUNCTION("ARRAY_CONSTRAIN(ARRAYFORMULA(SINGLE(TEXTJOIN(""_"",TRUE,D1853,G1853))), 1, 1)"),"Yarbrough Family Foundation_2020")</f>
        <v>Yarbrough Family Foundation_2020</v>
      </c>
      <c r="D1853" s="4" t="s">
        <v>66</v>
      </c>
      <c r="E1853" s="8" t="s">
        <v>46</v>
      </c>
      <c r="F1853" s="6">
        <v>10000</v>
      </c>
      <c r="G1853" s="4">
        <v>2020</v>
      </c>
      <c r="H1853" s="4" t="s">
        <v>361</v>
      </c>
    </row>
  </sheetData>
  <autoFilter ref="A1:I1853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60"/>
  <sheetViews>
    <sheetView workbookViewId="0"/>
  </sheetViews>
  <sheetFormatPr baseColWidth="10" defaultColWidth="11.1640625" defaultRowHeight="15" customHeight="1" x14ac:dyDescent="0.2"/>
  <cols>
    <col min="1" max="1" width="64.5" customWidth="1"/>
    <col min="2" max="2" width="80.1640625" customWidth="1"/>
    <col min="3" max="26" width="10.5" customWidth="1"/>
  </cols>
  <sheetData>
    <row r="1" spans="1:2" ht="15.75" customHeight="1" x14ac:dyDescent="0.2">
      <c r="A1" s="3" t="s">
        <v>6</v>
      </c>
      <c r="B1" s="3" t="s">
        <v>1093</v>
      </c>
    </row>
    <row r="2" spans="1:2" ht="15.75" customHeight="1" x14ac:dyDescent="0.2">
      <c r="A2" s="8" t="s">
        <v>23</v>
      </c>
      <c r="B2" s="5" t="s">
        <v>1094</v>
      </c>
    </row>
    <row r="3" spans="1:2" ht="15.75" customHeight="1" x14ac:dyDescent="0.2">
      <c r="A3" s="4" t="s">
        <v>139</v>
      </c>
      <c r="B3" s="5" t="s">
        <v>1094</v>
      </c>
    </row>
    <row r="4" spans="1:2" ht="15.75" customHeight="1" x14ac:dyDescent="0.2">
      <c r="A4" s="4" t="s">
        <v>21</v>
      </c>
      <c r="B4" s="5" t="s">
        <v>1095</v>
      </c>
    </row>
    <row r="5" spans="1:2" ht="15.75" customHeight="1" x14ac:dyDescent="0.2">
      <c r="A5" s="4" t="s">
        <v>141</v>
      </c>
      <c r="B5" s="5" t="s">
        <v>1096</v>
      </c>
    </row>
    <row r="6" spans="1:2" ht="15.75" customHeight="1" x14ac:dyDescent="0.2">
      <c r="A6" s="4" t="s">
        <v>205</v>
      </c>
      <c r="B6" s="5" t="s">
        <v>1094</v>
      </c>
    </row>
    <row r="7" spans="1:2" ht="15.75" customHeight="1" x14ac:dyDescent="0.2">
      <c r="A7" s="8" t="s">
        <v>146</v>
      </c>
      <c r="B7" s="5" t="s">
        <v>1094</v>
      </c>
    </row>
    <row r="8" spans="1:2" ht="15.75" customHeight="1" x14ac:dyDescent="0.2">
      <c r="A8" s="4" t="s">
        <v>115</v>
      </c>
      <c r="B8" s="5" t="s">
        <v>1094</v>
      </c>
    </row>
    <row r="9" spans="1:2" ht="15.75" customHeight="1" x14ac:dyDescent="0.2">
      <c r="A9" s="4" t="s">
        <v>216</v>
      </c>
      <c r="B9" s="5" t="s">
        <v>1094</v>
      </c>
    </row>
    <row r="10" spans="1:2" ht="15.75" customHeight="1" x14ac:dyDescent="0.2">
      <c r="A10" s="4" t="s">
        <v>173</v>
      </c>
      <c r="B10" s="5" t="s">
        <v>1094</v>
      </c>
    </row>
    <row r="11" spans="1:2" ht="15.75" customHeight="1" x14ac:dyDescent="0.2">
      <c r="A11" s="4" t="s">
        <v>104</v>
      </c>
      <c r="B11" s="5" t="s">
        <v>1094</v>
      </c>
    </row>
    <row r="12" spans="1:2" ht="15.75" customHeight="1" x14ac:dyDescent="0.2">
      <c r="A12" s="8" t="s">
        <v>71</v>
      </c>
      <c r="B12" s="4" t="s">
        <v>1097</v>
      </c>
    </row>
    <row r="13" spans="1:2" ht="15.75" customHeight="1" x14ac:dyDescent="0.2">
      <c r="A13" s="4" t="s">
        <v>114</v>
      </c>
      <c r="B13" s="5" t="s">
        <v>1098</v>
      </c>
    </row>
    <row r="14" spans="1:2" ht="15.75" customHeight="1" x14ac:dyDescent="0.2">
      <c r="A14" s="4" t="s">
        <v>113</v>
      </c>
      <c r="B14" s="5" t="s">
        <v>1099</v>
      </c>
    </row>
    <row r="15" spans="1:2" ht="15.75" customHeight="1" x14ac:dyDescent="0.2">
      <c r="A15" s="4" t="s">
        <v>204</v>
      </c>
      <c r="B15" s="5" t="s">
        <v>1100</v>
      </c>
    </row>
    <row r="16" spans="1:2" ht="15.75" customHeight="1" x14ac:dyDescent="0.2">
      <c r="A16" s="4" t="s">
        <v>148</v>
      </c>
      <c r="B16" s="5" t="s">
        <v>1094</v>
      </c>
    </row>
    <row r="17" spans="1:2" ht="15.75" customHeight="1" x14ac:dyDescent="0.2">
      <c r="A17" s="4" t="s">
        <v>78</v>
      </c>
      <c r="B17" s="5" t="s">
        <v>1094</v>
      </c>
    </row>
    <row r="18" spans="1:2" ht="15.75" customHeight="1" x14ac:dyDescent="0.2">
      <c r="A18" s="4" t="s">
        <v>33</v>
      </c>
    </row>
    <row r="19" spans="1:2" ht="15.75" customHeight="1" x14ac:dyDescent="0.2">
      <c r="A19" s="4" t="s">
        <v>221</v>
      </c>
      <c r="B19" s="5" t="s">
        <v>1094</v>
      </c>
    </row>
    <row r="20" spans="1:2" ht="15.75" customHeight="1" x14ac:dyDescent="0.2">
      <c r="A20" s="4" t="s">
        <v>94</v>
      </c>
      <c r="B20" s="5" t="s">
        <v>1101</v>
      </c>
    </row>
    <row r="21" spans="1:2" ht="15.75" customHeight="1" x14ac:dyDescent="0.2">
      <c r="A21" s="8" t="s">
        <v>135</v>
      </c>
      <c r="B21" s="4" t="s">
        <v>1102</v>
      </c>
    </row>
    <row r="22" spans="1:2" ht="15.75" customHeight="1" x14ac:dyDescent="0.2">
      <c r="A22" s="8" t="s">
        <v>106</v>
      </c>
      <c r="B22" s="5" t="s">
        <v>1094</v>
      </c>
    </row>
    <row r="23" spans="1:2" ht="15.75" customHeight="1" x14ac:dyDescent="0.2">
      <c r="A23" s="4" t="s">
        <v>219</v>
      </c>
      <c r="B23" s="5" t="s">
        <v>1094</v>
      </c>
    </row>
    <row r="24" spans="1:2" ht="15.75" customHeight="1" x14ac:dyDescent="0.2">
      <c r="A24" s="4" t="s">
        <v>209</v>
      </c>
      <c r="B24" s="5" t="s">
        <v>1094</v>
      </c>
    </row>
    <row r="25" spans="1:2" ht="15.75" customHeight="1" x14ac:dyDescent="0.2">
      <c r="A25" s="4" t="s">
        <v>44</v>
      </c>
      <c r="B25" s="5" t="s">
        <v>1103</v>
      </c>
    </row>
    <row r="26" spans="1:2" ht="15.75" customHeight="1" x14ac:dyDescent="0.2">
      <c r="A26" s="8" t="s">
        <v>30</v>
      </c>
    </row>
    <row r="27" spans="1:2" ht="15.75" customHeight="1" x14ac:dyDescent="0.2">
      <c r="A27" s="4" t="s">
        <v>86</v>
      </c>
      <c r="B27" s="5" t="s">
        <v>1094</v>
      </c>
    </row>
    <row r="28" spans="1:2" ht="15.75" customHeight="1" x14ac:dyDescent="0.2">
      <c r="A28" s="4" t="s">
        <v>40</v>
      </c>
      <c r="B28" s="5" t="s">
        <v>1094</v>
      </c>
    </row>
    <row r="29" spans="1:2" ht="15.75" customHeight="1" x14ac:dyDescent="0.2">
      <c r="A29" s="4" t="s">
        <v>156</v>
      </c>
      <c r="B29" s="5" t="s">
        <v>1094</v>
      </c>
    </row>
    <row r="30" spans="1:2" ht="15.75" customHeight="1" x14ac:dyDescent="0.2">
      <c r="A30" s="8" t="s">
        <v>192</v>
      </c>
      <c r="B30" s="4" t="s">
        <v>1104</v>
      </c>
    </row>
    <row r="31" spans="1:2" ht="15.75" customHeight="1" x14ac:dyDescent="0.2">
      <c r="A31" s="4" t="s">
        <v>52</v>
      </c>
      <c r="B31" s="5" t="s">
        <v>1105</v>
      </c>
    </row>
    <row r="32" spans="1:2" ht="15.75" customHeight="1" x14ac:dyDescent="0.2">
      <c r="A32" s="8" t="s">
        <v>159</v>
      </c>
      <c r="B32" s="5" t="s">
        <v>1094</v>
      </c>
    </row>
    <row r="33" spans="1:2" ht="15.75" customHeight="1" x14ac:dyDescent="0.2">
      <c r="A33" s="8" t="s">
        <v>229</v>
      </c>
      <c r="B33" s="5" t="s">
        <v>1094</v>
      </c>
    </row>
    <row r="34" spans="1:2" ht="15.75" customHeight="1" x14ac:dyDescent="0.2">
      <c r="A34" s="8" t="s">
        <v>190</v>
      </c>
      <c r="B34" s="5" t="s">
        <v>1094</v>
      </c>
    </row>
    <row r="35" spans="1:2" ht="15.75" customHeight="1" x14ac:dyDescent="0.2">
      <c r="A35" s="8" t="s">
        <v>74</v>
      </c>
      <c r="B35" s="5" t="s">
        <v>1094</v>
      </c>
    </row>
    <row r="36" spans="1:2" ht="15.75" customHeight="1" x14ac:dyDescent="0.2">
      <c r="A36" s="8" t="s">
        <v>203</v>
      </c>
      <c r="B36" s="5" t="s">
        <v>1094</v>
      </c>
    </row>
    <row r="37" spans="1:2" ht="15.75" customHeight="1" x14ac:dyDescent="0.2">
      <c r="A37" s="4" t="s">
        <v>45</v>
      </c>
      <c r="B37" s="5" t="s">
        <v>1106</v>
      </c>
    </row>
    <row r="38" spans="1:2" ht="15.75" customHeight="1" x14ac:dyDescent="0.2">
      <c r="A38" s="8" t="s">
        <v>162</v>
      </c>
      <c r="B38" s="5" t="s">
        <v>1094</v>
      </c>
    </row>
    <row r="39" spans="1:2" ht="15.75" customHeight="1" x14ac:dyDescent="0.2">
      <c r="A39" s="8" t="s">
        <v>112</v>
      </c>
      <c r="B39" s="4" t="s">
        <v>1107</v>
      </c>
    </row>
    <row r="40" spans="1:2" ht="15.75" customHeight="1" x14ac:dyDescent="0.2">
      <c r="A40" s="8" t="s">
        <v>189</v>
      </c>
      <c r="B40" s="4" t="s">
        <v>1108</v>
      </c>
    </row>
    <row r="41" spans="1:2" ht="15.75" customHeight="1" x14ac:dyDescent="0.2">
      <c r="A41" s="8" t="s">
        <v>32</v>
      </c>
      <c r="B41" s="5" t="s">
        <v>1094</v>
      </c>
    </row>
    <row r="42" spans="1:2" ht="15.75" customHeight="1" x14ac:dyDescent="0.2">
      <c r="A42" s="4" t="s">
        <v>59</v>
      </c>
      <c r="B42" s="5" t="s">
        <v>1109</v>
      </c>
    </row>
    <row r="43" spans="1:2" ht="15.75" customHeight="1" x14ac:dyDescent="0.2">
      <c r="A43" s="4" t="s">
        <v>100</v>
      </c>
      <c r="B43" s="5" t="s">
        <v>1110</v>
      </c>
    </row>
    <row r="44" spans="1:2" ht="15.75" customHeight="1" x14ac:dyDescent="0.2">
      <c r="A44" s="4" t="s">
        <v>39</v>
      </c>
      <c r="B44" s="5" t="s">
        <v>1111</v>
      </c>
    </row>
    <row r="45" spans="1:2" ht="15.75" customHeight="1" x14ac:dyDescent="0.2">
      <c r="A45" s="4" t="s">
        <v>131</v>
      </c>
      <c r="B45" s="5" t="s">
        <v>1094</v>
      </c>
    </row>
    <row r="46" spans="1:2" ht="15.75" customHeight="1" x14ac:dyDescent="0.2">
      <c r="A46" s="8" t="s">
        <v>188</v>
      </c>
      <c r="B46" s="5" t="s">
        <v>1094</v>
      </c>
    </row>
    <row r="47" spans="1:2" ht="15.75" customHeight="1" x14ac:dyDescent="0.2">
      <c r="A47" s="4" t="s">
        <v>75</v>
      </c>
      <c r="B47" s="5" t="s">
        <v>1110</v>
      </c>
    </row>
    <row r="48" spans="1:2" ht="15.75" customHeight="1" x14ac:dyDescent="0.2">
      <c r="A48" s="4" t="s">
        <v>111</v>
      </c>
      <c r="B48" s="5" t="s">
        <v>1094</v>
      </c>
    </row>
    <row r="49" spans="1:2" ht="15.75" customHeight="1" x14ac:dyDescent="0.2">
      <c r="A49" s="4" t="s">
        <v>73</v>
      </c>
      <c r="B49" s="5" t="s">
        <v>1094</v>
      </c>
    </row>
    <row r="50" spans="1:2" ht="15.75" customHeight="1" x14ac:dyDescent="0.2">
      <c r="A50" s="4" t="s">
        <v>110</v>
      </c>
      <c r="B50" s="5" t="s">
        <v>1094</v>
      </c>
    </row>
    <row r="51" spans="1:2" ht="15.75" customHeight="1" x14ac:dyDescent="0.2">
      <c r="A51" s="4" t="s">
        <v>117</v>
      </c>
      <c r="B51" s="5" t="s">
        <v>1094</v>
      </c>
    </row>
    <row r="52" spans="1:2" ht="15.75" customHeight="1" x14ac:dyDescent="0.2">
      <c r="A52" s="4" t="s">
        <v>149</v>
      </c>
      <c r="B52" s="5" t="s">
        <v>1094</v>
      </c>
    </row>
    <row r="53" spans="1:2" ht="15.75" customHeight="1" x14ac:dyDescent="0.2">
      <c r="A53" s="4" t="s">
        <v>215</v>
      </c>
      <c r="B53" s="5" t="s">
        <v>1094</v>
      </c>
    </row>
    <row r="54" spans="1:2" ht="15.75" customHeight="1" x14ac:dyDescent="0.2">
      <c r="A54" s="4" t="s">
        <v>168</v>
      </c>
      <c r="B54" s="5" t="s">
        <v>1094</v>
      </c>
    </row>
    <row r="55" spans="1:2" ht="15.75" customHeight="1" x14ac:dyDescent="0.2">
      <c r="A55" s="4" t="s">
        <v>187</v>
      </c>
      <c r="B55" s="5" t="s">
        <v>1094</v>
      </c>
    </row>
    <row r="56" spans="1:2" ht="15.75" customHeight="1" x14ac:dyDescent="0.2">
      <c r="A56" s="4" t="s">
        <v>145</v>
      </c>
    </row>
    <row r="57" spans="1:2" ht="15.75" customHeight="1" x14ac:dyDescent="0.2">
      <c r="A57" s="4" t="s">
        <v>95</v>
      </c>
      <c r="B57" s="5" t="s">
        <v>1094</v>
      </c>
    </row>
    <row r="58" spans="1:2" ht="15.75" customHeight="1" x14ac:dyDescent="0.2">
      <c r="A58" s="4" t="s">
        <v>22</v>
      </c>
      <c r="B58" s="4" t="s">
        <v>1112</v>
      </c>
    </row>
    <row r="59" spans="1:2" ht="15.75" customHeight="1" x14ac:dyDescent="0.2">
      <c r="A59" s="4" t="s">
        <v>116</v>
      </c>
    </row>
    <row r="60" spans="1:2" ht="15.75" customHeight="1" x14ac:dyDescent="0.2">
      <c r="A60" s="4" t="s">
        <v>194</v>
      </c>
      <c r="B60" s="5" t="s">
        <v>1094</v>
      </c>
    </row>
    <row r="61" spans="1:2" ht="15.75" customHeight="1" x14ac:dyDescent="0.2">
      <c r="A61" s="4" t="s">
        <v>10</v>
      </c>
      <c r="B61" s="5" t="s">
        <v>1113</v>
      </c>
    </row>
    <row r="62" spans="1:2" ht="15.75" customHeight="1" x14ac:dyDescent="0.2">
      <c r="A62" s="4" t="s">
        <v>9</v>
      </c>
      <c r="B62" s="5" t="s">
        <v>1114</v>
      </c>
    </row>
    <row r="63" spans="1:2" ht="15.75" customHeight="1" x14ac:dyDescent="0.2">
      <c r="A63" s="4" t="s">
        <v>93</v>
      </c>
      <c r="B63" s="5" t="s">
        <v>1094</v>
      </c>
    </row>
    <row r="64" spans="1:2" ht="15.75" customHeight="1" x14ac:dyDescent="0.2">
      <c r="A64" s="4" t="s">
        <v>29</v>
      </c>
      <c r="B64" s="5" t="s">
        <v>1115</v>
      </c>
    </row>
    <row r="65" spans="1:2" ht="15.75" customHeight="1" x14ac:dyDescent="0.2">
      <c r="A65" s="4" t="s">
        <v>48</v>
      </c>
      <c r="B65" s="5" t="s">
        <v>1094</v>
      </c>
    </row>
    <row r="66" spans="1:2" ht="15.75" customHeight="1" x14ac:dyDescent="0.2">
      <c r="A66" s="4" t="s">
        <v>154</v>
      </c>
    </row>
    <row r="67" spans="1:2" ht="15.75" customHeight="1" x14ac:dyDescent="0.2">
      <c r="A67" s="4" t="s">
        <v>202</v>
      </c>
      <c r="B67" s="5" t="s">
        <v>1094</v>
      </c>
    </row>
    <row r="68" spans="1:2" ht="15.75" customHeight="1" x14ac:dyDescent="0.2">
      <c r="A68" s="4" t="s">
        <v>72</v>
      </c>
      <c r="B68" s="5" t="s">
        <v>1094</v>
      </c>
    </row>
    <row r="69" spans="1:2" ht="15.75" customHeight="1" x14ac:dyDescent="0.2">
      <c r="A69" s="4" t="s">
        <v>92</v>
      </c>
      <c r="B69" s="4" t="s">
        <v>1116</v>
      </c>
    </row>
    <row r="70" spans="1:2" ht="15.75" customHeight="1" x14ac:dyDescent="0.2">
      <c r="A70" s="4" t="s">
        <v>81</v>
      </c>
      <c r="B70" s="5" t="s">
        <v>1117</v>
      </c>
    </row>
    <row r="71" spans="1:2" ht="15.75" customHeight="1" x14ac:dyDescent="0.2">
      <c r="A71" s="4" t="s">
        <v>130</v>
      </c>
      <c r="B71" s="5" t="s">
        <v>1094</v>
      </c>
    </row>
    <row r="72" spans="1:2" ht="15.75" customHeight="1" x14ac:dyDescent="0.2">
      <c r="A72" s="4" t="s">
        <v>65</v>
      </c>
      <c r="B72" s="4" t="s">
        <v>1118</v>
      </c>
    </row>
    <row r="73" spans="1:2" ht="15.75" customHeight="1" x14ac:dyDescent="0.2">
      <c r="A73" s="4" t="s">
        <v>155</v>
      </c>
      <c r="B73" s="5" t="s">
        <v>1094</v>
      </c>
    </row>
    <row r="74" spans="1:2" ht="15.75" customHeight="1" x14ac:dyDescent="0.2">
      <c r="A74" s="4" t="s">
        <v>119</v>
      </c>
    </row>
    <row r="75" spans="1:2" ht="15.75" customHeight="1" x14ac:dyDescent="0.2">
      <c r="A75" s="4" t="s">
        <v>98</v>
      </c>
      <c r="B75" s="5" t="s">
        <v>1094</v>
      </c>
    </row>
    <row r="76" spans="1:2" ht="15.75" customHeight="1" x14ac:dyDescent="0.2">
      <c r="A76" s="4" t="s">
        <v>186</v>
      </c>
      <c r="B76" s="4" t="s">
        <v>1119</v>
      </c>
    </row>
    <row r="77" spans="1:2" ht="15.75" customHeight="1" x14ac:dyDescent="0.2">
      <c r="A77" s="4" t="s">
        <v>58</v>
      </c>
      <c r="B77" s="5" t="s">
        <v>1094</v>
      </c>
    </row>
    <row r="78" spans="1:2" ht="15.75" customHeight="1" x14ac:dyDescent="0.2">
      <c r="A78" s="4" t="s">
        <v>18</v>
      </c>
      <c r="B78" s="5" t="s">
        <v>1094</v>
      </c>
    </row>
    <row r="79" spans="1:2" ht="15.75" customHeight="1" x14ac:dyDescent="0.2">
      <c r="A79" s="4" t="s">
        <v>185</v>
      </c>
      <c r="B79" s="5" t="s">
        <v>1094</v>
      </c>
    </row>
    <row r="80" spans="1:2" ht="15.75" customHeight="1" x14ac:dyDescent="0.2">
      <c r="A80" s="4" t="s">
        <v>64</v>
      </c>
      <c r="B80" s="5" t="s">
        <v>1094</v>
      </c>
    </row>
    <row r="81" spans="1:2" ht="15.75" customHeight="1" x14ac:dyDescent="0.2">
      <c r="A81" s="4" t="s">
        <v>158</v>
      </c>
      <c r="B81" s="5" t="s">
        <v>1094</v>
      </c>
    </row>
    <row r="82" spans="1:2" ht="15.75" customHeight="1" x14ac:dyDescent="0.2">
      <c r="A82" s="4" t="s">
        <v>134</v>
      </c>
      <c r="B82" s="5" t="s">
        <v>1120</v>
      </c>
    </row>
    <row r="83" spans="1:2" ht="15.75" customHeight="1" x14ac:dyDescent="0.2">
      <c r="A83" s="4" t="s">
        <v>85</v>
      </c>
      <c r="B83" s="5" t="s">
        <v>1094</v>
      </c>
    </row>
    <row r="84" spans="1:2" ht="15.75" customHeight="1" x14ac:dyDescent="0.2">
      <c r="A84" s="4" t="s">
        <v>228</v>
      </c>
      <c r="B84" s="5" t="s">
        <v>1094</v>
      </c>
    </row>
    <row r="85" spans="1:2" ht="15.75" customHeight="1" x14ac:dyDescent="0.2">
      <c r="A85" s="4" t="s">
        <v>129</v>
      </c>
      <c r="B85" s="5" t="s">
        <v>1121</v>
      </c>
    </row>
    <row r="86" spans="1:2" ht="15.75" customHeight="1" x14ac:dyDescent="0.2">
      <c r="A86" s="4" t="s">
        <v>201</v>
      </c>
      <c r="B86" s="5" t="s">
        <v>1094</v>
      </c>
    </row>
    <row r="87" spans="1:2" ht="15.75" customHeight="1" x14ac:dyDescent="0.2">
      <c r="A87" s="4" t="s">
        <v>167</v>
      </c>
      <c r="B87" s="5" t="s">
        <v>1094</v>
      </c>
    </row>
    <row r="88" spans="1:2" ht="15.75" customHeight="1" x14ac:dyDescent="0.2">
      <c r="A88" s="4" t="s">
        <v>103</v>
      </c>
      <c r="B88" s="5" t="s">
        <v>1094</v>
      </c>
    </row>
    <row r="89" spans="1:2" ht="15.75" customHeight="1" x14ac:dyDescent="0.2">
      <c r="A89" s="4" t="s">
        <v>195</v>
      </c>
      <c r="B89" s="4" t="s">
        <v>1122</v>
      </c>
    </row>
    <row r="90" spans="1:2" ht="15.75" customHeight="1" x14ac:dyDescent="0.2">
      <c r="A90" s="4" t="s">
        <v>63</v>
      </c>
      <c r="B90" s="5" t="s">
        <v>1123</v>
      </c>
    </row>
    <row r="91" spans="1:2" ht="15.75" customHeight="1" x14ac:dyDescent="0.2">
      <c r="A91" s="4" t="s">
        <v>172</v>
      </c>
      <c r="B91" s="5" t="s">
        <v>1094</v>
      </c>
    </row>
    <row r="92" spans="1:2" ht="15.75" customHeight="1" x14ac:dyDescent="0.2">
      <c r="A92" s="4" t="s">
        <v>144</v>
      </c>
      <c r="B92" s="5" t="s">
        <v>1094</v>
      </c>
    </row>
    <row r="93" spans="1:2" ht="15.75" customHeight="1" x14ac:dyDescent="0.2">
      <c r="A93" s="4" t="s">
        <v>109</v>
      </c>
      <c r="B93" s="5" t="s">
        <v>1094</v>
      </c>
    </row>
    <row r="94" spans="1:2" ht="15.75" customHeight="1" x14ac:dyDescent="0.2">
      <c r="A94" s="4" t="s">
        <v>171</v>
      </c>
      <c r="B94" s="5" t="s">
        <v>1094</v>
      </c>
    </row>
    <row r="95" spans="1:2" ht="15.75" customHeight="1" x14ac:dyDescent="0.2">
      <c r="A95" s="4" t="s">
        <v>138</v>
      </c>
      <c r="B95" s="5" t="s">
        <v>1094</v>
      </c>
    </row>
    <row r="96" spans="1:2" ht="15.75" customHeight="1" x14ac:dyDescent="0.2">
      <c r="A96" s="4" t="s">
        <v>56</v>
      </c>
      <c r="B96" s="5" t="s">
        <v>1094</v>
      </c>
    </row>
    <row r="97" spans="1:2" ht="15.75" customHeight="1" x14ac:dyDescent="0.2">
      <c r="A97" s="4" t="s">
        <v>128</v>
      </c>
      <c r="B97" s="5" t="s">
        <v>1094</v>
      </c>
    </row>
    <row r="98" spans="1:2" ht="15.75" customHeight="1" x14ac:dyDescent="0.2">
      <c r="A98" s="4" t="s">
        <v>38</v>
      </c>
      <c r="B98" s="5" t="s">
        <v>1094</v>
      </c>
    </row>
    <row r="99" spans="1:2" ht="15.75" customHeight="1" x14ac:dyDescent="0.2">
      <c r="A99" s="4" t="s">
        <v>207</v>
      </c>
      <c r="B99" s="5" t="s">
        <v>1094</v>
      </c>
    </row>
    <row r="100" spans="1:2" ht="15.75" customHeight="1" x14ac:dyDescent="0.2">
      <c r="A100" s="4" t="s">
        <v>227</v>
      </c>
      <c r="B100" s="5" t="s">
        <v>1094</v>
      </c>
    </row>
    <row r="101" spans="1:2" ht="15.75" customHeight="1" x14ac:dyDescent="0.2">
      <c r="A101" s="4" t="s">
        <v>142</v>
      </c>
      <c r="B101" s="5" t="s">
        <v>1094</v>
      </c>
    </row>
    <row r="102" spans="1:2" ht="15.75" customHeight="1" x14ac:dyDescent="0.2">
      <c r="A102" s="4" t="s">
        <v>88</v>
      </c>
      <c r="B102" s="5" t="s">
        <v>1094</v>
      </c>
    </row>
    <row r="103" spans="1:2" ht="15.75" customHeight="1" x14ac:dyDescent="0.2">
      <c r="A103" s="4" t="s">
        <v>184</v>
      </c>
      <c r="B103" s="5" t="s">
        <v>1094</v>
      </c>
    </row>
    <row r="104" spans="1:2" ht="15.75" customHeight="1" x14ac:dyDescent="0.2">
      <c r="A104" s="4" t="s">
        <v>161</v>
      </c>
      <c r="B104" s="5" t="s">
        <v>1094</v>
      </c>
    </row>
    <row r="105" spans="1:2" ht="15.75" customHeight="1" x14ac:dyDescent="0.2">
      <c r="A105" s="4" t="s">
        <v>123</v>
      </c>
      <c r="B105" s="5" t="s">
        <v>1094</v>
      </c>
    </row>
    <row r="106" spans="1:2" ht="15.75" customHeight="1" x14ac:dyDescent="0.2">
      <c r="A106" s="4" t="s">
        <v>53</v>
      </c>
      <c r="B106" s="5" t="s">
        <v>1124</v>
      </c>
    </row>
    <row r="107" spans="1:2" ht="15.75" customHeight="1" x14ac:dyDescent="0.2">
      <c r="A107" s="4" t="s">
        <v>47</v>
      </c>
      <c r="B107" s="4" t="s">
        <v>1125</v>
      </c>
    </row>
    <row r="108" spans="1:2" ht="15.75" customHeight="1" x14ac:dyDescent="0.2">
      <c r="A108" s="4" t="s">
        <v>226</v>
      </c>
      <c r="B108" s="5" t="s">
        <v>1094</v>
      </c>
    </row>
    <row r="109" spans="1:2" ht="15.75" customHeight="1" x14ac:dyDescent="0.2">
      <c r="A109" s="4" t="s">
        <v>25</v>
      </c>
      <c r="B109" s="5" t="s">
        <v>1094</v>
      </c>
    </row>
    <row r="110" spans="1:2" ht="15.75" customHeight="1" x14ac:dyDescent="0.2">
      <c r="A110" s="4" t="s">
        <v>200</v>
      </c>
      <c r="B110" s="5" t="s">
        <v>1094</v>
      </c>
    </row>
    <row r="111" spans="1:2" ht="15.75" customHeight="1" x14ac:dyDescent="0.2">
      <c r="A111" s="4" t="s">
        <v>163</v>
      </c>
      <c r="B111" s="5" t="s">
        <v>1094</v>
      </c>
    </row>
    <row r="112" spans="1:2" ht="15.75" customHeight="1" x14ac:dyDescent="0.2">
      <c r="A112" s="4" t="s">
        <v>102</v>
      </c>
      <c r="B112" s="5" t="s">
        <v>1094</v>
      </c>
    </row>
    <row r="113" spans="1:2" ht="15.75" customHeight="1" x14ac:dyDescent="0.2">
      <c r="A113" s="4" t="s">
        <v>20</v>
      </c>
      <c r="B113" s="5" t="s">
        <v>1126</v>
      </c>
    </row>
    <row r="114" spans="1:2" ht="15.75" customHeight="1" x14ac:dyDescent="0.2">
      <c r="A114" s="4" t="s">
        <v>70</v>
      </c>
      <c r="B114" s="5" t="s">
        <v>1094</v>
      </c>
    </row>
    <row r="115" spans="1:2" ht="15.75" customHeight="1" x14ac:dyDescent="0.2">
      <c r="A115" s="4" t="s">
        <v>147</v>
      </c>
      <c r="B115" s="5" t="s">
        <v>1094</v>
      </c>
    </row>
    <row r="116" spans="1:2" ht="15.75" customHeight="1" x14ac:dyDescent="0.2">
      <c r="A116" s="4" t="s">
        <v>19</v>
      </c>
      <c r="B116" s="5" t="s">
        <v>1127</v>
      </c>
    </row>
    <row r="117" spans="1:2" ht="15.75" customHeight="1" x14ac:dyDescent="0.2">
      <c r="A117" s="4" t="s">
        <v>91</v>
      </c>
    </row>
    <row r="118" spans="1:2" ht="15.75" customHeight="1" x14ac:dyDescent="0.2">
      <c r="A118" s="4" t="s">
        <v>55</v>
      </c>
      <c r="B118" s="5" t="s">
        <v>1094</v>
      </c>
    </row>
    <row r="119" spans="1:2" ht="15.75" customHeight="1" x14ac:dyDescent="0.2">
      <c r="A119" s="4" t="s">
        <v>160</v>
      </c>
      <c r="B119" s="5" t="s">
        <v>1094</v>
      </c>
    </row>
    <row r="120" spans="1:2" ht="15.75" customHeight="1" x14ac:dyDescent="0.2">
      <c r="A120" s="4" t="s">
        <v>43</v>
      </c>
      <c r="B120" s="5" t="s">
        <v>1128</v>
      </c>
    </row>
    <row r="121" spans="1:2" ht="15.75" customHeight="1" x14ac:dyDescent="0.2">
      <c r="A121" s="4" t="s">
        <v>132</v>
      </c>
    </row>
    <row r="122" spans="1:2" ht="15.75" customHeight="1" x14ac:dyDescent="0.2">
      <c r="A122" s="4" t="s">
        <v>206</v>
      </c>
      <c r="B122" s="5" t="s">
        <v>1094</v>
      </c>
    </row>
    <row r="123" spans="1:2" ht="15.75" customHeight="1" x14ac:dyDescent="0.2">
      <c r="A123" s="4" t="s">
        <v>26</v>
      </c>
      <c r="B123" s="5" t="s">
        <v>1129</v>
      </c>
    </row>
    <row r="124" spans="1:2" ht="15.75" customHeight="1" x14ac:dyDescent="0.2">
      <c r="A124" s="4" t="s">
        <v>199</v>
      </c>
      <c r="B124" s="5" t="s">
        <v>1094</v>
      </c>
    </row>
    <row r="125" spans="1:2" ht="15.75" customHeight="1" x14ac:dyDescent="0.2">
      <c r="A125" s="4" t="s">
        <v>166</v>
      </c>
      <c r="B125" s="5" t="s">
        <v>1094</v>
      </c>
    </row>
    <row r="126" spans="1:2" ht="15.75" customHeight="1" x14ac:dyDescent="0.2">
      <c r="A126" s="4" t="s">
        <v>57</v>
      </c>
      <c r="B126" s="5" t="s">
        <v>1094</v>
      </c>
    </row>
    <row r="127" spans="1:2" ht="15.75" customHeight="1" x14ac:dyDescent="0.2">
      <c r="A127" s="4" t="s">
        <v>108</v>
      </c>
    </row>
    <row r="128" spans="1:2" ht="15.75" customHeight="1" x14ac:dyDescent="0.2">
      <c r="A128" s="4" t="s">
        <v>143</v>
      </c>
      <c r="B128" s="5" t="s">
        <v>1094</v>
      </c>
    </row>
    <row r="129" spans="1:2" ht="15.75" customHeight="1" x14ac:dyDescent="0.2">
      <c r="A129" s="4" t="s">
        <v>153</v>
      </c>
      <c r="B129" s="5" t="s">
        <v>1094</v>
      </c>
    </row>
    <row r="130" spans="1:2" ht="15.75" customHeight="1" x14ac:dyDescent="0.2">
      <c r="A130" s="4" t="s">
        <v>218</v>
      </c>
      <c r="B130" s="5" t="s">
        <v>1094</v>
      </c>
    </row>
    <row r="131" spans="1:2" ht="15.75" customHeight="1" x14ac:dyDescent="0.2">
      <c r="A131" s="4" t="s">
        <v>193</v>
      </c>
      <c r="B131" s="5" t="s">
        <v>1094</v>
      </c>
    </row>
    <row r="132" spans="1:2" ht="15.75" customHeight="1" x14ac:dyDescent="0.2">
      <c r="A132" s="4" t="s">
        <v>225</v>
      </c>
      <c r="B132" s="5" t="s">
        <v>1094</v>
      </c>
    </row>
    <row r="133" spans="1:2" ht="15.75" customHeight="1" x14ac:dyDescent="0.2">
      <c r="A133" s="4" t="s">
        <v>107</v>
      </c>
      <c r="B133" s="5" t="s">
        <v>1094</v>
      </c>
    </row>
    <row r="134" spans="1:2" ht="15.75" customHeight="1" x14ac:dyDescent="0.2">
      <c r="A134" s="4" t="s">
        <v>152</v>
      </c>
      <c r="B134" s="5" t="s">
        <v>1094</v>
      </c>
    </row>
    <row r="135" spans="1:2" ht="15.75" customHeight="1" x14ac:dyDescent="0.2">
      <c r="A135" s="4" t="s">
        <v>84</v>
      </c>
      <c r="B135" s="5" t="s">
        <v>1094</v>
      </c>
    </row>
    <row r="136" spans="1:2" ht="15.75" customHeight="1" x14ac:dyDescent="0.2">
      <c r="A136" s="4" t="s">
        <v>34</v>
      </c>
      <c r="B136" s="5" t="s">
        <v>1130</v>
      </c>
    </row>
    <row r="137" spans="1:2" ht="15.75" customHeight="1" x14ac:dyDescent="0.2">
      <c r="A137" s="4" t="s">
        <v>42</v>
      </c>
      <c r="B137" s="5" t="s">
        <v>1131</v>
      </c>
    </row>
    <row r="138" spans="1:2" ht="15.75" customHeight="1" x14ac:dyDescent="0.2">
      <c r="A138" s="4" t="s">
        <v>127</v>
      </c>
      <c r="B138" s="5" t="s">
        <v>1094</v>
      </c>
    </row>
    <row r="139" spans="1:2" ht="15.75" customHeight="1" x14ac:dyDescent="0.2">
      <c r="A139" s="4" t="s">
        <v>15</v>
      </c>
      <c r="B139" s="5" t="s">
        <v>1132</v>
      </c>
    </row>
    <row r="140" spans="1:2" ht="15.75" customHeight="1" x14ac:dyDescent="0.2">
      <c r="A140" s="4" t="s">
        <v>140</v>
      </c>
      <c r="B140" s="5" t="s">
        <v>1094</v>
      </c>
    </row>
    <row r="141" spans="1:2" ht="15.75" customHeight="1" x14ac:dyDescent="0.2">
      <c r="A141" s="4" t="s">
        <v>99</v>
      </c>
      <c r="B141" s="5" t="s">
        <v>1094</v>
      </c>
    </row>
    <row r="142" spans="1:2" ht="15.75" customHeight="1" x14ac:dyDescent="0.2">
      <c r="A142" s="4" t="s">
        <v>198</v>
      </c>
      <c r="B142" s="5" t="s">
        <v>1094</v>
      </c>
    </row>
    <row r="143" spans="1:2" ht="15.75" customHeight="1" x14ac:dyDescent="0.2">
      <c r="A143" s="4" t="s">
        <v>165</v>
      </c>
      <c r="B143" s="5" t="s">
        <v>1094</v>
      </c>
    </row>
    <row r="144" spans="1:2" ht="15.75" customHeight="1" x14ac:dyDescent="0.2">
      <c r="A144" s="4" t="s">
        <v>157</v>
      </c>
      <c r="B144" s="5" t="s">
        <v>1094</v>
      </c>
    </row>
    <row r="145" spans="1:2" ht="15.75" customHeight="1" x14ac:dyDescent="0.2">
      <c r="A145" s="4" t="s">
        <v>133</v>
      </c>
      <c r="B145" s="5" t="s">
        <v>1094</v>
      </c>
    </row>
    <row r="146" spans="1:2" ht="15.75" customHeight="1" x14ac:dyDescent="0.2">
      <c r="A146" s="4" t="s">
        <v>83</v>
      </c>
      <c r="B146" s="5" t="s">
        <v>1094</v>
      </c>
    </row>
    <row r="147" spans="1:2" ht="15.75" customHeight="1" x14ac:dyDescent="0.2">
      <c r="A147" s="4" t="s">
        <v>137</v>
      </c>
      <c r="B147" s="5" t="s">
        <v>1133</v>
      </c>
    </row>
    <row r="148" spans="1:2" ht="15.75" customHeight="1" x14ac:dyDescent="0.2">
      <c r="A148" s="4" t="s">
        <v>51</v>
      </c>
      <c r="B148" s="5" t="s">
        <v>1134</v>
      </c>
    </row>
    <row r="149" spans="1:2" ht="15.75" customHeight="1" x14ac:dyDescent="0.2">
      <c r="A149" s="4" t="s">
        <v>28</v>
      </c>
      <c r="B149" s="5" t="s">
        <v>1094</v>
      </c>
    </row>
    <row r="150" spans="1:2" ht="15.75" customHeight="1" x14ac:dyDescent="0.2">
      <c r="A150" s="4" t="s">
        <v>96</v>
      </c>
      <c r="B150" s="5" t="s">
        <v>1135</v>
      </c>
    </row>
    <row r="151" spans="1:2" ht="15.75" customHeight="1" x14ac:dyDescent="0.2">
      <c r="A151" s="4" t="s">
        <v>77</v>
      </c>
      <c r="B151" s="5" t="s">
        <v>1094</v>
      </c>
    </row>
    <row r="152" spans="1:2" ht="15.75" customHeight="1" x14ac:dyDescent="0.2">
      <c r="A152" s="4" t="s">
        <v>126</v>
      </c>
      <c r="B152" s="4" t="s">
        <v>1136</v>
      </c>
    </row>
    <row r="153" spans="1:2" ht="15.75" customHeight="1" x14ac:dyDescent="0.2">
      <c r="A153" s="4" t="s">
        <v>125</v>
      </c>
      <c r="B153" s="5" t="s">
        <v>1094</v>
      </c>
    </row>
    <row r="154" spans="1:2" ht="15.75" customHeight="1" x14ac:dyDescent="0.2">
      <c r="A154" s="4" t="s">
        <v>31</v>
      </c>
      <c r="B154" s="5" t="s">
        <v>1137</v>
      </c>
    </row>
    <row r="155" spans="1:2" ht="15.75" customHeight="1" x14ac:dyDescent="0.2">
      <c r="A155" s="4" t="s">
        <v>27</v>
      </c>
      <c r="B155" s="5" t="s">
        <v>1094</v>
      </c>
    </row>
    <row r="156" spans="1:2" ht="15.75" customHeight="1" x14ac:dyDescent="0.2">
      <c r="A156" s="4" t="s">
        <v>61</v>
      </c>
      <c r="B156" s="5" t="s">
        <v>1094</v>
      </c>
    </row>
    <row r="157" spans="1:2" ht="15.75" customHeight="1" x14ac:dyDescent="0.2">
      <c r="A157" s="4" t="s">
        <v>151</v>
      </c>
      <c r="B157" s="5" t="s">
        <v>1094</v>
      </c>
    </row>
    <row r="158" spans="1:2" ht="15.75" customHeight="1" x14ac:dyDescent="0.2">
      <c r="A158" s="4" t="s">
        <v>101</v>
      </c>
      <c r="B158" s="5" t="s">
        <v>1094</v>
      </c>
    </row>
    <row r="159" spans="1:2" ht="15.75" customHeight="1" x14ac:dyDescent="0.2">
      <c r="A159" s="4" t="s">
        <v>224</v>
      </c>
      <c r="B159" s="5" t="s">
        <v>1094</v>
      </c>
    </row>
    <row r="160" spans="1:2" ht="15.75" customHeight="1" x14ac:dyDescent="0.2">
      <c r="A160" s="4" t="s">
        <v>183</v>
      </c>
      <c r="B160" s="5" t="s">
        <v>1094</v>
      </c>
    </row>
    <row r="161" spans="1:4" ht="15.75" customHeight="1" x14ac:dyDescent="0.2">
      <c r="A161" s="4" t="s">
        <v>79</v>
      </c>
      <c r="B161" s="5" t="s">
        <v>1094</v>
      </c>
    </row>
    <row r="162" spans="1:4" ht="15.75" customHeight="1" x14ac:dyDescent="0.2">
      <c r="A162" s="4" t="s">
        <v>182</v>
      </c>
      <c r="B162" s="5" t="s">
        <v>1094</v>
      </c>
    </row>
    <row r="163" spans="1:4" ht="15.75" customHeight="1" x14ac:dyDescent="0.2">
      <c r="A163" s="4" t="s">
        <v>181</v>
      </c>
      <c r="B163" s="5" t="s">
        <v>1094</v>
      </c>
      <c r="D163" s="4"/>
    </row>
    <row r="164" spans="1:4" ht="15.75" customHeight="1" x14ac:dyDescent="0.2">
      <c r="A164" s="4" t="s">
        <v>197</v>
      </c>
      <c r="B164" s="5" t="s">
        <v>1094</v>
      </c>
    </row>
    <row r="165" spans="1:4" ht="15.75" customHeight="1" x14ac:dyDescent="0.2">
      <c r="A165" s="4" t="s">
        <v>169</v>
      </c>
      <c r="B165" s="5" t="s">
        <v>1094</v>
      </c>
    </row>
    <row r="166" spans="1:4" ht="15.75" customHeight="1" x14ac:dyDescent="0.2">
      <c r="A166" s="4" t="s">
        <v>214</v>
      </c>
      <c r="B166" s="5" t="s">
        <v>1094</v>
      </c>
    </row>
    <row r="167" spans="1:4" ht="15.75" customHeight="1" x14ac:dyDescent="0.2">
      <c r="A167" s="4" t="s">
        <v>90</v>
      </c>
      <c r="B167" s="5" t="s">
        <v>1138</v>
      </c>
    </row>
    <row r="168" spans="1:4" ht="15.75" customHeight="1" x14ac:dyDescent="0.2">
      <c r="A168" s="4" t="s">
        <v>223</v>
      </c>
      <c r="B168" s="5" t="s">
        <v>1139</v>
      </c>
    </row>
    <row r="169" spans="1:4" ht="15.75" customHeight="1" x14ac:dyDescent="0.2">
      <c r="A169" s="4" t="s">
        <v>54</v>
      </c>
    </row>
    <row r="170" spans="1:4" ht="15.75" customHeight="1" x14ac:dyDescent="0.2">
      <c r="A170" s="4" t="s">
        <v>118</v>
      </c>
      <c r="B170" s="5" t="s">
        <v>1094</v>
      </c>
    </row>
    <row r="171" spans="1:4" ht="15.75" customHeight="1" x14ac:dyDescent="0.2">
      <c r="A171" s="4" t="s">
        <v>60</v>
      </c>
      <c r="B171" s="5" t="s">
        <v>1140</v>
      </c>
    </row>
    <row r="172" spans="1:4" ht="15.75" customHeight="1" x14ac:dyDescent="0.2">
      <c r="A172" s="4" t="s">
        <v>121</v>
      </c>
      <c r="B172" s="5" t="s">
        <v>1141</v>
      </c>
    </row>
    <row r="173" spans="1:4" ht="15.75" customHeight="1" x14ac:dyDescent="0.2">
      <c r="A173" s="4" t="s">
        <v>230</v>
      </c>
      <c r="B173" s="5" t="s">
        <v>1094</v>
      </c>
    </row>
    <row r="174" spans="1:4" ht="15.75" customHeight="1" x14ac:dyDescent="0.2">
      <c r="A174" s="4" t="s">
        <v>213</v>
      </c>
      <c r="B174" s="5" t="s">
        <v>1094</v>
      </c>
    </row>
    <row r="175" spans="1:4" ht="15.75" customHeight="1" x14ac:dyDescent="0.2">
      <c r="A175" s="4" t="s">
        <v>191</v>
      </c>
      <c r="B175" s="5" t="s">
        <v>1094</v>
      </c>
    </row>
    <row r="176" spans="1:4" ht="15.75" customHeight="1" x14ac:dyDescent="0.2">
      <c r="A176" s="4" t="s">
        <v>217</v>
      </c>
      <c r="B176" s="5" t="s">
        <v>1094</v>
      </c>
    </row>
    <row r="177" spans="1:2" ht="15.75" customHeight="1" x14ac:dyDescent="0.2">
      <c r="A177" s="4" t="s">
        <v>24</v>
      </c>
    </row>
    <row r="178" spans="1:2" ht="15.75" customHeight="1" x14ac:dyDescent="0.2">
      <c r="A178" s="4" t="s">
        <v>150</v>
      </c>
      <c r="B178" s="5" t="s">
        <v>1094</v>
      </c>
    </row>
    <row r="179" spans="1:2" ht="15.75" customHeight="1" x14ac:dyDescent="0.2">
      <c r="A179" s="4" t="s">
        <v>212</v>
      </c>
      <c r="B179" s="5" t="s">
        <v>1094</v>
      </c>
    </row>
    <row r="180" spans="1:2" ht="15.75" customHeight="1" x14ac:dyDescent="0.2">
      <c r="A180" s="4" t="s">
        <v>82</v>
      </c>
      <c r="B180" s="5" t="s">
        <v>1094</v>
      </c>
    </row>
    <row r="181" spans="1:2" ht="15.75" customHeight="1" x14ac:dyDescent="0.2">
      <c r="A181" s="4" t="s">
        <v>180</v>
      </c>
      <c r="B181" s="5" t="s">
        <v>1094</v>
      </c>
    </row>
    <row r="182" spans="1:2" ht="15.75" customHeight="1" x14ac:dyDescent="0.2">
      <c r="A182" s="4" t="s">
        <v>97</v>
      </c>
    </row>
    <row r="183" spans="1:2" ht="15.75" customHeight="1" x14ac:dyDescent="0.2">
      <c r="A183" s="4" t="s">
        <v>179</v>
      </c>
      <c r="B183" s="5" t="s">
        <v>1094</v>
      </c>
    </row>
    <row r="184" spans="1:2" ht="15.75" customHeight="1" x14ac:dyDescent="0.2">
      <c r="A184" s="4" t="s">
        <v>87</v>
      </c>
      <c r="B184" s="5" t="s">
        <v>1094</v>
      </c>
    </row>
    <row r="185" spans="1:2" ht="15.75" customHeight="1" x14ac:dyDescent="0.2">
      <c r="A185" s="4" t="s">
        <v>69</v>
      </c>
    </row>
    <row r="186" spans="1:2" ht="15.75" customHeight="1" x14ac:dyDescent="0.2">
      <c r="A186" s="4" t="s">
        <v>76</v>
      </c>
    </row>
    <row r="187" spans="1:2" ht="15.75" customHeight="1" x14ac:dyDescent="0.2">
      <c r="A187" s="4" t="s">
        <v>62</v>
      </c>
      <c r="B187" s="5" t="s">
        <v>1142</v>
      </c>
    </row>
    <row r="188" spans="1:2" ht="15.75" customHeight="1" x14ac:dyDescent="0.2">
      <c r="A188" s="4" t="s">
        <v>12</v>
      </c>
      <c r="B188" s="5" t="s">
        <v>1143</v>
      </c>
    </row>
    <row r="189" spans="1:2" ht="15.75" customHeight="1" x14ac:dyDescent="0.2">
      <c r="A189" s="4" t="s">
        <v>220</v>
      </c>
      <c r="B189" s="5" t="s">
        <v>1094</v>
      </c>
    </row>
    <row r="190" spans="1:2" ht="15.75" customHeight="1" x14ac:dyDescent="0.2">
      <c r="A190" s="4" t="s">
        <v>178</v>
      </c>
      <c r="B190" s="5" t="s">
        <v>1094</v>
      </c>
    </row>
    <row r="191" spans="1:2" ht="15.75" customHeight="1" x14ac:dyDescent="0.2">
      <c r="A191" s="4" t="s">
        <v>222</v>
      </c>
      <c r="B191" s="5" t="s">
        <v>1094</v>
      </c>
    </row>
    <row r="192" spans="1:2" ht="15.75" customHeight="1" x14ac:dyDescent="0.2">
      <c r="A192" s="4" t="s">
        <v>14</v>
      </c>
      <c r="B192" s="5" t="s">
        <v>1144</v>
      </c>
    </row>
    <row r="193" spans="1:2" ht="15.75" customHeight="1" x14ac:dyDescent="0.2">
      <c r="A193" s="4" t="s">
        <v>36</v>
      </c>
      <c r="B193" s="5" t="s">
        <v>1094</v>
      </c>
    </row>
    <row r="194" spans="1:2" ht="15.75" customHeight="1" x14ac:dyDescent="0.2">
      <c r="A194" s="4" t="s">
        <v>177</v>
      </c>
      <c r="B194" s="5" t="s">
        <v>1094</v>
      </c>
    </row>
    <row r="195" spans="1:2" ht="15.75" customHeight="1" x14ac:dyDescent="0.2">
      <c r="A195" s="4" t="s">
        <v>11</v>
      </c>
      <c r="B195" s="5" t="s">
        <v>1145</v>
      </c>
    </row>
    <row r="196" spans="1:2" ht="15.75" customHeight="1" x14ac:dyDescent="0.2">
      <c r="A196" s="4" t="s">
        <v>80</v>
      </c>
      <c r="B196" s="4" t="s">
        <v>1146</v>
      </c>
    </row>
    <row r="197" spans="1:2" ht="15.75" customHeight="1" x14ac:dyDescent="0.2">
      <c r="A197" s="4" t="s">
        <v>196</v>
      </c>
      <c r="B197" s="4" t="s">
        <v>1147</v>
      </c>
    </row>
    <row r="198" spans="1:2" ht="15.75" customHeight="1" x14ac:dyDescent="0.2">
      <c r="A198" s="4" t="s">
        <v>136</v>
      </c>
      <c r="B198" s="5" t="s">
        <v>1094</v>
      </c>
    </row>
    <row r="199" spans="1:2" ht="15.75" customHeight="1" x14ac:dyDescent="0.2">
      <c r="A199" s="4" t="s">
        <v>211</v>
      </c>
      <c r="B199" s="5" t="s">
        <v>1094</v>
      </c>
    </row>
    <row r="200" spans="1:2" ht="15.75" customHeight="1" x14ac:dyDescent="0.2">
      <c r="A200" s="4" t="s">
        <v>176</v>
      </c>
      <c r="B200" s="4" t="s">
        <v>1148</v>
      </c>
    </row>
    <row r="201" spans="1:2" ht="15.75" customHeight="1" x14ac:dyDescent="0.2">
      <c r="A201" s="4" t="s">
        <v>46</v>
      </c>
      <c r="B201" s="5" t="s">
        <v>1149</v>
      </c>
    </row>
    <row r="202" spans="1:2" ht="15.75" customHeight="1" x14ac:dyDescent="0.2">
      <c r="A202" s="4" t="s">
        <v>164</v>
      </c>
      <c r="B202" s="5" t="s">
        <v>1094</v>
      </c>
    </row>
    <row r="203" spans="1:2" ht="15.75" customHeight="1" x14ac:dyDescent="0.2">
      <c r="A203" s="4" t="s">
        <v>210</v>
      </c>
      <c r="B203" s="5" t="s">
        <v>1094</v>
      </c>
    </row>
    <row r="204" spans="1:2" ht="15.75" customHeight="1" x14ac:dyDescent="0.2">
      <c r="A204" s="4" t="s">
        <v>105</v>
      </c>
      <c r="B204" s="5" t="s">
        <v>1094</v>
      </c>
    </row>
    <row r="205" spans="1:2" ht="15.75" customHeight="1" x14ac:dyDescent="0.2">
      <c r="A205" s="4" t="s">
        <v>175</v>
      </c>
      <c r="B205" s="5" t="s">
        <v>1094</v>
      </c>
    </row>
    <row r="206" spans="1:2" ht="15.75" customHeight="1" x14ac:dyDescent="0.2">
      <c r="A206" s="4" t="s">
        <v>122</v>
      </c>
      <c r="B206" s="5" t="s">
        <v>1094</v>
      </c>
    </row>
    <row r="207" spans="1:2" ht="15.75" customHeight="1" x14ac:dyDescent="0.2">
      <c r="A207" s="4" t="s">
        <v>120</v>
      </c>
    </row>
    <row r="208" spans="1:2" ht="15.75" customHeight="1" x14ac:dyDescent="0.2">
      <c r="A208" s="4" t="s">
        <v>17</v>
      </c>
      <c r="B208" s="5" t="s">
        <v>1150</v>
      </c>
    </row>
    <row r="209" spans="1:2" ht="15.75" customHeight="1" x14ac:dyDescent="0.2">
      <c r="A209" s="4" t="s">
        <v>174</v>
      </c>
      <c r="B209" s="5" t="s">
        <v>1151</v>
      </c>
    </row>
    <row r="210" spans="1:2" ht="15.75" customHeight="1" x14ac:dyDescent="0.2">
      <c r="A210" s="4" t="s">
        <v>16</v>
      </c>
      <c r="B210" s="4" t="s">
        <v>1152</v>
      </c>
    </row>
    <row r="211" spans="1:2" ht="15.75" customHeight="1" x14ac:dyDescent="0.2">
      <c r="A211" s="4" t="s">
        <v>67</v>
      </c>
      <c r="B211" s="5" t="s">
        <v>1094</v>
      </c>
    </row>
    <row r="212" spans="1:2" ht="15.75" customHeight="1" x14ac:dyDescent="0.2">
      <c r="A212" s="4" t="s">
        <v>50</v>
      </c>
    </row>
    <row r="213" spans="1:2" ht="15.75" customHeight="1" x14ac:dyDescent="0.2">
      <c r="A213" s="4" t="s">
        <v>35</v>
      </c>
      <c r="B213" s="5" t="s">
        <v>1094</v>
      </c>
    </row>
    <row r="214" spans="1:2" ht="15.75" customHeight="1" x14ac:dyDescent="0.2">
      <c r="A214" s="4" t="s">
        <v>37</v>
      </c>
      <c r="B214" s="5" t="s">
        <v>1153</v>
      </c>
    </row>
    <row r="215" spans="1:2" ht="15.75" customHeight="1" x14ac:dyDescent="0.2">
      <c r="A215" s="4" t="s">
        <v>170</v>
      </c>
      <c r="B215" s="5" t="s">
        <v>1094</v>
      </c>
    </row>
    <row r="216" spans="1:2" ht="15.75" customHeight="1" x14ac:dyDescent="0.2">
      <c r="A216" s="4" t="s">
        <v>13</v>
      </c>
      <c r="B216" s="4" t="s">
        <v>1154</v>
      </c>
    </row>
    <row r="217" spans="1:2" ht="15.75" customHeight="1" x14ac:dyDescent="0.2">
      <c r="A217" s="4" t="s">
        <v>124</v>
      </c>
      <c r="B217" s="5" t="s">
        <v>1094</v>
      </c>
    </row>
    <row r="218" spans="1:2" ht="15.75" customHeight="1" x14ac:dyDescent="0.2">
      <c r="A218" s="4" t="s">
        <v>208</v>
      </c>
      <c r="B218" s="5" t="s">
        <v>1094</v>
      </c>
    </row>
    <row r="219" spans="1:2" ht="15.75" customHeight="1" x14ac:dyDescent="0.2">
      <c r="A219" s="4" t="s">
        <v>41</v>
      </c>
      <c r="B219" s="5" t="s">
        <v>1155</v>
      </c>
    </row>
    <row r="220" spans="1:2" ht="15.75" customHeight="1" x14ac:dyDescent="0.2">
      <c r="A220" s="4" t="s">
        <v>68</v>
      </c>
      <c r="B220" s="5" t="s">
        <v>1094</v>
      </c>
    </row>
    <row r="221" spans="1:2" ht="15.75" customHeight="1" x14ac:dyDescent="0.2">
      <c r="A221" s="4" t="s">
        <v>89</v>
      </c>
    </row>
    <row r="222" spans="1:2" ht="15.75" customHeight="1" x14ac:dyDescent="0.2">
      <c r="A222" s="4" t="s">
        <v>49</v>
      </c>
      <c r="B222" s="5" t="s">
        <v>1094</v>
      </c>
    </row>
    <row r="223" spans="1:2" ht="15.75" customHeight="1" x14ac:dyDescent="0.2">
      <c r="A223" s="4" t="s">
        <v>66</v>
      </c>
      <c r="B223" s="5" t="s">
        <v>1094</v>
      </c>
    </row>
    <row r="224" spans="1:2" ht="15.75" customHeight="1" x14ac:dyDescent="0.2">
      <c r="A224" s="8" t="s">
        <v>1156</v>
      </c>
      <c r="B224" s="5" t="s">
        <v>1094</v>
      </c>
    </row>
    <row r="225" spans="1:2" ht="15.75" customHeight="1" x14ac:dyDescent="0.2">
      <c r="A225" s="8" t="s">
        <v>1157</v>
      </c>
      <c r="B225" s="5" t="s">
        <v>1094</v>
      </c>
    </row>
    <row r="226" spans="1:2" ht="15.75" customHeight="1" x14ac:dyDescent="0.2">
      <c r="A226" s="8" t="s">
        <v>1158</v>
      </c>
      <c r="B226" s="5" t="s">
        <v>1094</v>
      </c>
    </row>
    <row r="227" spans="1:2" ht="15.75" customHeight="1" x14ac:dyDescent="0.2">
      <c r="A227" s="8" t="s">
        <v>1159</v>
      </c>
      <c r="B227" s="5" t="s">
        <v>1094</v>
      </c>
    </row>
    <row r="228" spans="1:2" ht="15.75" customHeight="1" x14ac:dyDescent="0.2">
      <c r="A228" s="8" t="s">
        <v>1160</v>
      </c>
      <c r="B228" s="5" t="s">
        <v>1094</v>
      </c>
    </row>
    <row r="229" spans="1:2" ht="15.75" customHeight="1" x14ac:dyDescent="0.2">
      <c r="A229" s="8" t="s">
        <v>1161</v>
      </c>
      <c r="B229" s="5" t="s">
        <v>1094</v>
      </c>
    </row>
    <row r="230" spans="1:2" ht="15.75" customHeight="1" x14ac:dyDescent="0.2">
      <c r="A230" s="8" t="s">
        <v>236</v>
      </c>
      <c r="B230" s="4" t="s">
        <v>1162</v>
      </c>
    </row>
    <row r="231" spans="1:2" ht="15.75" customHeight="1" x14ac:dyDescent="0.2">
      <c r="A231" s="8" t="s">
        <v>246</v>
      </c>
      <c r="B231" s="5" t="s">
        <v>1094</v>
      </c>
    </row>
    <row r="232" spans="1:2" ht="15.75" customHeight="1" x14ac:dyDescent="0.2">
      <c r="A232" s="8" t="s">
        <v>247</v>
      </c>
      <c r="B232" s="4" t="s">
        <v>1163</v>
      </c>
    </row>
    <row r="233" spans="1:2" ht="15.75" customHeight="1" x14ac:dyDescent="0.2">
      <c r="A233" s="8" t="s">
        <v>249</v>
      </c>
      <c r="B233" s="5" t="s">
        <v>1164</v>
      </c>
    </row>
    <row r="234" spans="1:2" ht="15.75" customHeight="1" x14ac:dyDescent="0.2">
      <c r="A234" s="8" t="s">
        <v>254</v>
      </c>
      <c r="B234" s="5" t="s">
        <v>1165</v>
      </c>
    </row>
    <row r="235" spans="1:2" ht="15.75" customHeight="1" x14ac:dyDescent="0.2">
      <c r="A235" s="8" t="s">
        <v>255</v>
      </c>
      <c r="B235" s="5" t="s">
        <v>1166</v>
      </c>
    </row>
    <row r="236" spans="1:2" ht="15.75" customHeight="1" x14ac:dyDescent="0.2">
      <c r="A236" s="8" t="s">
        <v>256</v>
      </c>
      <c r="B236" s="5" t="s">
        <v>1167</v>
      </c>
    </row>
    <row r="237" spans="1:2" ht="15.75" customHeight="1" x14ac:dyDescent="0.2">
      <c r="A237" s="8" t="s">
        <v>258</v>
      </c>
      <c r="B237" s="4" t="s">
        <v>1168</v>
      </c>
    </row>
    <row r="238" spans="1:2" ht="15.75" customHeight="1" x14ac:dyDescent="0.2">
      <c r="A238" s="8" t="s">
        <v>259</v>
      </c>
      <c r="B238" s="5" t="s">
        <v>1169</v>
      </c>
    </row>
    <row r="239" spans="1:2" ht="15.75" customHeight="1" x14ac:dyDescent="0.2">
      <c r="A239" s="4" t="s">
        <v>262</v>
      </c>
      <c r="B239" s="5" t="s">
        <v>1170</v>
      </c>
    </row>
    <row r="240" spans="1:2" ht="15.75" customHeight="1" x14ac:dyDescent="0.2">
      <c r="A240" s="8" t="s">
        <v>264</v>
      </c>
      <c r="B240" s="5" t="s">
        <v>1171</v>
      </c>
    </row>
    <row r="241" spans="1:2" ht="15.75" customHeight="1" x14ac:dyDescent="0.2">
      <c r="A241" s="8" t="s">
        <v>271</v>
      </c>
      <c r="B241" s="5" t="s">
        <v>1172</v>
      </c>
    </row>
    <row r="242" spans="1:2" ht="15.75" customHeight="1" x14ac:dyDescent="0.2">
      <c r="A242" s="4" t="s">
        <v>268</v>
      </c>
      <c r="B242" s="5" t="s">
        <v>1173</v>
      </c>
    </row>
    <row r="243" spans="1:2" ht="15.75" customHeight="1" x14ac:dyDescent="0.2">
      <c r="A243" s="8" t="s">
        <v>275</v>
      </c>
      <c r="B243" s="5" t="s">
        <v>1174</v>
      </c>
    </row>
    <row r="244" spans="1:2" ht="15.75" customHeight="1" x14ac:dyDescent="0.2">
      <c r="A244" s="8" t="s">
        <v>277</v>
      </c>
      <c r="B244" s="5" t="s">
        <v>1175</v>
      </c>
    </row>
    <row r="245" spans="1:2" ht="15.75" customHeight="1" x14ac:dyDescent="0.2">
      <c r="A245" s="8" t="s">
        <v>278</v>
      </c>
      <c r="B245" s="5" t="s">
        <v>1176</v>
      </c>
    </row>
    <row r="246" spans="1:2" ht="15.75" customHeight="1" x14ac:dyDescent="0.2">
      <c r="A246" s="8" t="s">
        <v>280</v>
      </c>
      <c r="B246" s="5" t="s">
        <v>1177</v>
      </c>
    </row>
    <row r="247" spans="1:2" ht="15.75" customHeight="1" x14ac:dyDescent="0.2">
      <c r="A247" s="8" t="s">
        <v>283</v>
      </c>
      <c r="B247" s="5" t="s">
        <v>1094</v>
      </c>
    </row>
    <row r="248" spans="1:2" ht="15.75" customHeight="1" x14ac:dyDescent="0.2">
      <c r="A248" s="8" t="s">
        <v>284</v>
      </c>
      <c r="B248" s="5" t="s">
        <v>1094</v>
      </c>
    </row>
    <row r="249" spans="1:2" ht="15.75" customHeight="1" x14ac:dyDescent="0.2">
      <c r="A249" s="8" t="s">
        <v>286</v>
      </c>
      <c r="B249" s="5" t="s">
        <v>1178</v>
      </c>
    </row>
    <row r="250" spans="1:2" ht="15.75" customHeight="1" x14ac:dyDescent="0.2">
      <c r="A250" s="8" t="s">
        <v>287</v>
      </c>
      <c r="B250" s="5" t="s">
        <v>1179</v>
      </c>
    </row>
    <row r="251" spans="1:2" ht="15.75" customHeight="1" x14ac:dyDescent="0.2">
      <c r="A251" s="8" t="s">
        <v>288</v>
      </c>
      <c r="B251" s="5" t="s">
        <v>1094</v>
      </c>
    </row>
    <row r="252" spans="1:2" ht="15.75" customHeight="1" x14ac:dyDescent="0.2">
      <c r="A252" s="8" t="s">
        <v>289</v>
      </c>
      <c r="B252" s="4" t="s">
        <v>1180</v>
      </c>
    </row>
    <row r="253" spans="1:2" ht="15.75" customHeight="1" x14ac:dyDescent="0.2">
      <c r="A253" s="8" t="s">
        <v>290</v>
      </c>
      <c r="B253" s="4" t="s">
        <v>1181</v>
      </c>
    </row>
    <row r="254" spans="1:2" ht="15.75" customHeight="1" x14ac:dyDescent="0.2">
      <c r="A254" s="8" t="s">
        <v>292</v>
      </c>
      <c r="B254" s="4" t="s">
        <v>1182</v>
      </c>
    </row>
    <row r="255" spans="1:2" ht="15.75" customHeight="1" x14ac:dyDescent="0.2">
      <c r="A255" s="8" t="s">
        <v>294</v>
      </c>
      <c r="B255" s="5" t="s">
        <v>1183</v>
      </c>
    </row>
    <row r="256" spans="1:2" ht="15.75" customHeight="1" x14ac:dyDescent="0.2">
      <c r="A256" s="8" t="s">
        <v>295</v>
      </c>
      <c r="B256" s="5" t="s">
        <v>1184</v>
      </c>
    </row>
    <row r="257" spans="1:2" ht="15.75" customHeight="1" x14ac:dyDescent="0.2">
      <c r="A257" s="8" t="s">
        <v>296</v>
      </c>
      <c r="B257" s="5" t="s">
        <v>1185</v>
      </c>
    </row>
    <row r="258" spans="1:2" ht="15.75" customHeight="1" x14ac:dyDescent="0.2">
      <c r="A258" s="8" t="s">
        <v>303</v>
      </c>
      <c r="B258" s="5" t="s">
        <v>1186</v>
      </c>
    </row>
    <row r="259" spans="1:2" ht="15.75" customHeight="1" x14ac:dyDescent="0.2">
      <c r="A259" s="8" t="s">
        <v>309</v>
      </c>
      <c r="B259" s="5" t="s">
        <v>1187</v>
      </c>
    </row>
    <row r="260" spans="1:2" ht="15.75" customHeight="1" x14ac:dyDescent="0.2">
      <c r="A260" s="8" t="s">
        <v>315</v>
      </c>
      <c r="B260" s="5" t="s">
        <v>1188</v>
      </c>
    </row>
    <row r="261" spans="1:2" ht="15.75" customHeight="1" x14ac:dyDescent="0.2">
      <c r="A261" s="8" t="s">
        <v>318</v>
      </c>
      <c r="B261" s="5" t="s">
        <v>1094</v>
      </c>
    </row>
    <row r="262" spans="1:2" ht="15.75" customHeight="1" x14ac:dyDescent="0.2">
      <c r="A262" s="8" t="s">
        <v>322</v>
      </c>
      <c r="B262" s="4" t="s">
        <v>1189</v>
      </c>
    </row>
    <row r="263" spans="1:2" ht="15.75" customHeight="1" x14ac:dyDescent="0.2">
      <c r="A263" s="8" t="s">
        <v>324</v>
      </c>
      <c r="B263" s="5" t="s">
        <v>1190</v>
      </c>
    </row>
    <row r="264" spans="1:2" ht="15.75" customHeight="1" x14ac:dyDescent="0.2">
      <c r="A264" s="8" t="s">
        <v>325</v>
      </c>
      <c r="B264" s="5" t="s">
        <v>1191</v>
      </c>
    </row>
    <row r="265" spans="1:2" ht="15.75" customHeight="1" x14ac:dyDescent="0.2">
      <c r="A265" s="8" t="s">
        <v>326</v>
      </c>
      <c r="B265" s="5" t="s">
        <v>1192</v>
      </c>
    </row>
    <row r="266" spans="1:2" ht="15.75" customHeight="1" x14ac:dyDescent="0.2">
      <c r="A266" s="8" t="s">
        <v>329</v>
      </c>
      <c r="B266" s="5" t="s">
        <v>1094</v>
      </c>
    </row>
    <row r="267" spans="1:2" ht="15.75" customHeight="1" x14ac:dyDescent="0.2">
      <c r="A267" s="8" t="s">
        <v>334</v>
      </c>
      <c r="B267" s="5" t="s">
        <v>1193</v>
      </c>
    </row>
    <row r="268" spans="1:2" ht="15.75" customHeight="1" x14ac:dyDescent="0.2">
      <c r="A268" s="8" t="s">
        <v>342</v>
      </c>
      <c r="B268" s="5" t="s">
        <v>1194</v>
      </c>
    </row>
    <row r="269" spans="1:2" ht="15.75" customHeight="1" x14ac:dyDescent="0.2">
      <c r="A269" s="4" t="s">
        <v>252</v>
      </c>
      <c r="B269" s="5" t="s">
        <v>1195</v>
      </c>
    </row>
    <row r="270" spans="1:2" ht="15.75" customHeight="1" x14ac:dyDescent="0.2">
      <c r="A270" s="4" t="s">
        <v>291</v>
      </c>
      <c r="B270" s="5" t="s">
        <v>1196</v>
      </c>
    </row>
    <row r="271" spans="1:2" ht="15.75" customHeight="1" x14ac:dyDescent="0.2">
      <c r="A271" s="4" t="s">
        <v>332</v>
      </c>
      <c r="B271" s="5" t="s">
        <v>1197</v>
      </c>
    </row>
    <row r="272" spans="1:2" ht="15.75" customHeight="1" x14ac:dyDescent="0.2">
      <c r="A272" s="4" t="s">
        <v>344</v>
      </c>
      <c r="B272" s="5" t="s">
        <v>1198</v>
      </c>
    </row>
    <row r="273" spans="1:2" ht="15.75" customHeight="1" x14ac:dyDescent="0.2">
      <c r="A273" s="8" t="s">
        <v>350</v>
      </c>
      <c r="B273" s="5" t="s">
        <v>1199</v>
      </c>
    </row>
    <row r="274" spans="1:2" ht="15.75" customHeight="1" x14ac:dyDescent="0.2">
      <c r="A274" s="8" t="s">
        <v>354</v>
      </c>
      <c r="B274" s="5" t="s">
        <v>1200</v>
      </c>
    </row>
    <row r="275" spans="1:2" ht="15.75" customHeight="1" x14ac:dyDescent="0.2">
      <c r="A275" s="8" t="s">
        <v>1201</v>
      </c>
      <c r="B275" s="5" t="s">
        <v>1094</v>
      </c>
    </row>
    <row r="276" spans="1:2" ht="15.75" customHeight="1" x14ac:dyDescent="0.2">
      <c r="A276" s="8" t="s">
        <v>1202</v>
      </c>
      <c r="B276" s="5" t="s">
        <v>1094</v>
      </c>
    </row>
    <row r="277" spans="1:2" ht="15.75" customHeight="1" x14ac:dyDescent="0.2">
      <c r="A277" s="8" t="s">
        <v>1203</v>
      </c>
      <c r="B277" s="5" t="s">
        <v>1094</v>
      </c>
    </row>
    <row r="278" spans="1:2" ht="15.75" customHeight="1" x14ac:dyDescent="0.2">
      <c r="A278" s="8" t="s">
        <v>265</v>
      </c>
      <c r="B278" s="4" t="s">
        <v>1204</v>
      </c>
    </row>
    <row r="279" spans="1:2" ht="15.75" customHeight="1" x14ac:dyDescent="0.2">
      <c r="A279" s="8" t="s">
        <v>306</v>
      </c>
      <c r="B279" s="4" t="s">
        <v>1205</v>
      </c>
    </row>
    <row r="280" spans="1:2" ht="15.75" customHeight="1" x14ac:dyDescent="0.2">
      <c r="A280" s="8" t="s">
        <v>235</v>
      </c>
      <c r="B280" s="5" t="s">
        <v>1206</v>
      </c>
    </row>
    <row r="281" spans="1:2" ht="15.75" customHeight="1" x14ac:dyDescent="0.2">
      <c r="A281" s="4" t="s">
        <v>338</v>
      </c>
      <c r="B281" s="5" t="s">
        <v>1207</v>
      </c>
    </row>
    <row r="282" spans="1:2" ht="15.75" customHeight="1" x14ac:dyDescent="0.2">
      <c r="A282" s="8" t="s">
        <v>311</v>
      </c>
      <c r="B282" s="5" t="s">
        <v>1094</v>
      </c>
    </row>
    <row r="283" spans="1:2" ht="15.75" customHeight="1" x14ac:dyDescent="0.2">
      <c r="A283" s="8" t="s">
        <v>281</v>
      </c>
      <c r="B283" s="5" t="s">
        <v>1094</v>
      </c>
    </row>
    <row r="284" spans="1:2" ht="15.75" customHeight="1" x14ac:dyDescent="0.2">
      <c r="A284" s="8" t="s">
        <v>293</v>
      </c>
      <c r="B284" s="5" t="s">
        <v>1208</v>
      </c>
    </row>
    <row r="285" spans="1:2" ht="15.75" customHeight="1" x14ac:dyDescent="0.2">
      <c r="A285" s="8" t="s">
        <v>242</v>
      </c>
      <c r="B285" s="5" t="s">
        <v>1209</v>
      </c>
    </row>
    <row r="286" spans="1:2" ht="15.75" customHeight="1" x14ac:dyDescent="0.2">
      <c r="A286" s="8" t="s">
        <v>248</v>
      </c>
      <c r="B286" s="5" t="s">
        <v>1210</v>
      </c>
    </row>
    <row r="287" spans="1:2" ht="15.75" customHeight="1" x14ac:dyDescent="0.2">
      <c r="A287" s="4" t="s">
        <v>305</v>
      </c>
      <c r="B287" s="5" t="s">
        <v>1211</v>
      </c>
    </row>
    <row r="288" spans="1:2" ht="15.75" customHeight="1" x14ac:dyDescent="0.2">
      <c r="A288" s="8" t="s">
        <v>240</v>
      </c>
      <c r="B288" s="5" t="s">
        <v>1094</v>
      </c>
    </row>
    <row r="289" spans="1:2" ht="15.75" customHeight="1" x14ac:dyDescent="0.2">
      <c r="A289" s="8" t="s">
        <v>298</v>
      </c>
      <c r="B289" s="5" t="s">
        <v>1212</v>
      </c>
    </row>
    <row r="290" spans="1:2" ht="15.75" customHeight="1" x14ac:dyDescent="0.2">
      <c r="A290" s="8" t="s">
        <v>285</v>
      </c>
      <c r="B290" s="5" t="s">
        <v>1213</v>
      </c>
    </row>
    <row r="291" spans="1:2" ht="15.75" customHeight="1" x14ac:dyDescent="0.2">
      <c r="A291" s="8" t="s">
        <v>274</v>
      </c>
      <c r="B291" s="5" t="s">
        <v>1214</v>
      </c>
    </row>
    <row r="292" spans="1:2" ht="15.75" customHeight="1" x14ac:dyDescent="0.2">
      <c r="A292" s="8" t="s">
        <v>251</v>
      </c>
      <c r="B292" s="5" t="s">
        <v>1215</v>
      </c>
    </row>
    <row r="293" spans="1:2" ht="15.75" customHeight="1" x14ac:dyDescent="0.2">
      <c r="A293" s="8" t="s">
        <v>245</v>
      </c>
      <c r="B293" s="5" t="s">
        <v>1216</v>
      </c>
    </row>
    <row r="294" spans="1:2" ht="15.75" customHeight="1" x14ac:dyDescent="0.2">
      <c r="A294" s="8" t="s">
        <v>238</v>
      </c>
      <c r="B294" s="5" t="s">
        <v>1094</v>
      </c>
    </row>
    <row r="295" spans="1:2" ht="15.75" customHeight="1" x14ac:dyDescent="0.2">
      <c r="A295" s="8" t="s">
        <v>1217</v>
      </c>
      <c r="B295" s="5" t="s">
        <v>1094</v>
      </c>
    </row>
    <row r="296" spans="1:2" ht="15.75" customHeight="1" x14ac:dyDescent="0.2">
      <c r="A296" s="8" t="s">
        <v>1218</v>
      </c>
      <c r="B296" s="5" t="s">
        <v>1094</v>
      </c>
    </row>
    <row r="297" spans="1:2" ht="15.75" customHeight="1" x14ac:dyDescent="0.2">
      <c r="A297" s="8" t="s">
        <v>1219</v>
      </c>
      <c r="B297" s="5" t="s">
        <v>1094</v>
      </c>
    </row>
    <row r="298" spans="1:2" ht="15.75" customHeight="1" x14ac:dyDescent="0.2">
      <c r="A298" s="8" t="s">
        <v>1220</v>
      </c>
      <c r="B298" s="5" t="s">
        <v>1094</v>
      </c>
    </row>
    <row r="299" spans="1:2" ht="15.75" customHeight="1" x14ac:dyDescent="0.2">
      <c r="A299" s="8" t="s">
        <v>1221</v>
      </c>
      <c r="B299" s="5" t="s">
        <v>1094</v>
      </c>
    </row>
    <row r="300" spans="1:2" ht="15.75" customHeight="1" x14ac:dyDescent="0.2">
      <c r="A300" s="8" t="s">
        <v>301</v>
      </c>
      <c r="B300" s="5" t="s">
        <v>1094</v>
      </c>
    </row>
    <row r="301" spans="1:2" ht="15.75" customHeight="1" x14ac:dyDescent="0.2">
      <c r="A301" s="8" t="s">
        <v>312</v>
      </c>
      <c r="B301" s="5" t="s">
        <v>1222</v>
      </c>
    </row>
    <row r="302" spans="1:2" ht="15.75" customHeight="1" x14ac:dyDescent="0.2">
      <c r="A302" s="8" t="s">
        <v>1223</v>
      </c>
      <c r="B302" s="5" t="s">
        <v>1094</v>
      </c>
    </row>
    <row r="303" spans="1:2" ht="15.75" customHeight="1" x14ac:dyDescent="0.2">
      <c r="A303" s="4" t="s">
        <v>330</v>
      </c>
      <c r="B303" s="5" t="s">
        <v>1224</v>
      </c>
    </row>
    <row r="304" spans="1:2" ht="15.75" customHeight="1" x14ac:dyDescent="0.2">
      <c r="A304" s="8" t="s">
        <v>337</v>
      </c>
      <c r="B304" s="5" t="s">
        <v>1225</v>
      </c>
    </row>
    <row r="305" spans="1:2" ht="15.75" customHeight="1" x14ac:dyDescent="0.2">
      <c r="A305" s="8" t="s">
        <v>339</v>
      </c>
      <c r="B305" s="5" t="s">
        <v>1094</v>
      </c>
    </row>
    <row r="306" spans="1:2" ht="15.75" customHeight="1" x14ac:dyDescent="0.2">
      <c r="A306" s="8" t="s">
        <v>348</v>
      </c>
      <c r="B306" s="5" t="s">
        <v>1226</v>
      </c>
    </row>
    <row r="307" spans="1:2" ht="15.75" customHeight="1" x14ac:dyDescent="0.2">
      <c r="A307" s="8" t="s">
        <v>1227</v>
      </c>
      <c r="B307" s="5" t="s">
        <v>1094</v>
      </c>
    </row>
    <row r="308" spans="1:2" ht="15.75" customHeight="1" x14ac:dyDescent="0.2">
      <c r="A308" s="8" t="s">
        <v>260</v>
      </c>
      <c r="B308" s="4" t="s">
        <v>1228</v>
      </c>
    </row>
    <row r="309" spans="1:2" ht="15.75" customHeight="1" x14ac:dyDescent="0.2">
      <c r="A309" s="8" t="s">
        <v>1229</v>
      </c>
      <c r="B309" s="5" t="s">
        <v>1094</v>
      </c>
    </row>
    <row r="310" spans="1:2" ht="15.75" customHeight="1" x14ac:dyDescent="0.2">
      <c r="A310" s="8" t="s">
        <v>1230</v>
      </c>
      <c r="B310" s="4" t="s">
        <v>1231</v>
      </c>
    </row>
    <row r="311" spans="1:2" ht="15.75" customHeight="1" x14ac:dyDescent="0.2">
      <c r="A311" s="8" t="s">
        <v>308</v>
      </c>
      <c r="B311" s="5" t="s">
        <v>1232</v>
      </c>
    </row>
    <row r="312" spans="1:2" ht="15.75" customHeight="1" x14ac:dyDescent="0.2">
      <c r="A312" s="8" t="s">
        <v>241</v>
      </c>
      <c r="B312" s="5" t="s">
        <v>1094</v>
      </c>
    </row>
    <row r="313" spans="1:2" ht="15.75" customHeight="1" x14ac:dyDescent="0.2">
      <c r="A313" s="8" t="s">
        <v>244</v>
      </c>
      <c r="B313" s="4" t="s">
        <v>1233</v>
      </c>
    </row>
    <row r="314" spans="1:2" ht="15.75" customHeight="1" x14ac:dyDescent="0.2">
      <c r="A314" s="8" t="s">
        <v>302</v>
      </c>
      <c r="B314" s="4" t="s">
        <v>1234</v>
      </c>
    </row>
    <row r="315" spans="1:2" ht="15.75" customHeight="1" x14ac:dyDescent="0.2">
      <c r="A315" s="8" t="s">
        <v>321</v>
      </c>
      <c r="B315" s="5" t="s">
        <v>1235</v>
      </c>
    </row>
    <row r="316" spans="1:2" ht="15.75" customHeight="1" x14ac:dyDescent="0.2">
      <c r="A316" s="8" t="s">
        <v>1236</v>
      </c>
      <c r="B316" s="5" t="s">
        <v>1094</v>
      </c>
    </row>
    <row r="317" spans="1:2" ht="15.75" customHeight="1" x14ac:dyDescent="0.2">
      <c r="A317" s="4" t="s">
        <v>237</v>
      </c>
      <c r="B317" s="5" t="s">
        <v>1237</v>
      </c>
    </row>
    <row r="318" spans="1:2" ht="15.75" customHeight="1" x14ac:dyDescent="0.2">
      <c r="A318" s="4" t="s">
        <v>310</v>
      </c>
      <c r="B318" s="5" t="s">
        <v>1238</v>
      </c>
    </row>
    <row r="319" spans="1:2" ht="15.75" customHeight="1" x14ac:dyDescent="0.2">
      <c r="A319" s="4" t="s">
        <v>279</v>
      </c>
      <c r="B319" s="5" t="s">
        <v>1239</v>
      </c>
    </row>
    <row r="320" spans="1:2" ht="15.75" customHeight="1" x14ac:dyDescent="0.2">
      <c r="A320" s="4" t="s">
        <v>234</v>
      </c>
      <c r="B320" s="5" t="s">
        <v>1240</v>
      </c>
    </row>
    <row r="321" spans="1:2" ht="15.75" customHeight="1" x14ac:dyDescent="0.2">
      <c r="A321" s="4" t="s">
        <v>304</v>
      </c>
      <c r="B321" s="5" t="s">
        <v>1241</v>
      </c>
    </row>
    <row r="322" spans="1:2" ht="15.75" customHeight="1" x14ac:dyDescent="0.2">
      <c r="A322" s="4" t="s">
        <v>331</v>
      </c>
      <c r="B322" s="5" t="s">
        <v>1242</v>
      </c>
    </row>
    <row r="323" spans="1:2" ht="15.75" customHeight="1" x14ac:dyDescent="0.2">
      <c r="A323" s="4" t="s">
        <v>335</v>
      </c>
      <c r="B323" s="5" t="s">
        <v>1243</v>
      </c>
    </row>
    <row r="324" spans="1:2" ht="15.75" customHeight="1" x14ac:dyDescent="0.2">
      <c r="A324" s="4" t="s">
        <v>336</v>
      </c>
    </row>
    <row r="325" spans="1:2" ht="15.75" customHeight="1" x14ac:dyDescent="0.2">
      <c r="A325" s="4" t="s">
        <v>257</v>
      </c>
      <c r="B325" s="5" t="s">
        <v>1244</v>
      </c>
    </row>
    <row r="326" spans="1:2" ht="15.75" customHeight="1" x14ac:dyDescent="0.2">
      <c r="A326" s="4" t="s">
        <v>266</v>
      </c>
      <c r="B326" s="5" t="s">
        <v>1245</v>
      </c>
    </row>
    <row r="327" spans="1:2" ht="15.75" customHeight="1" x14ac:dyDescent="0.2">
      <c r="A327" s="4" t="s">
        <v>273</v>
      </c>
      <c r="B327" s="5" t="s">
        <v>1246</v>
      </c>
    </row>
    <row r="328" spans="1:2" ht="15.75" customHeight="1" x14ac:dyDescent="0.2">
      <c r="A328" s="4" t="s">
        <v>297</v>
      </c>
      <c r="B328" s="5" t="s">
        <v>1247</v>
      </c>
    </row>
    <row r="329" spans="1:2" ht="15.75" customHeight="1" x14ac:dyDescent="0.2">
      <c r="A329" s="4" t="s">
        <v>319</v>
      </c>
      <c r="B329" s="5" t="s">
        <v>1248</v>
      </c>
    </row>
    <row r="330" spans="1:2" ht="15.75" customHeight="1" x14ac:dyDescent="0.2">
      <c r="A330" s="4" t="s">
        <v>239</v>
      </c>
    </row>
    <row r="331" spans="1:2" ht="15.75" customHeight="1" x14ac:dyDescent="0.2">
      <c r="A331" s="4" t="s">
        <v>269</v>
      </c>
    </row>
    <row r="332" spans="1:2" ht="15.75" customHeight="1" x14ac:dyDescent="0.2">
      <c r="A332" s="4" t="s">
        <v>272</v>
      </c>
      <c r="B332" s="5" t="s">
        <v>1249</v>
      </c>
    </row>
    <row r="333" spans="1:2" ht="15.75" customHeight="1" x14ac:dyDescent="0.2">
      <c r="A333" s="4" t="s">
        <v>307</v>
      </c>
      <c r="B333" s="5" t="s">
        <v>1250</v>
      </c>
    </row>
    <row r="334" spans="1:2" ht="15.75" customHeight="1" x14ac:dyDescent="0.2">
      <c r="A334" s="4" t="s">
        <v>313</v>
      </c>
      <c r="B334" s="5" t="s">
        <v>1251</v>
      </c>
    </row>
    <row r="335" spans="1:2" ht="15.75" customHeight="1" x14ac:dyDescent="0.2">
      <c r="A335" s="4" t="s">
        <v>317</v>
      </c>
    </row>
    <row r="336" spans="1:2" ht="15.75" customHeight="1" x14ac:dyDescent="0.2">
      <c r="A336" s="4" t="s">
        <v>320</v>
      </c>
    </row>
    <row r="337" spans="1:2" ht="15.75" customHeight="1" x14ac:dyDescent="0.2">
      <c r="A337" s="4" t="s">
        <v>341</v>
      </c>
      <c r="B337" s="5" t="s">
        <v>1252</v>
      </c>
    </row>
    <row r="338" spans="1:2" ht="15.75" customHeight="1" x14ac:dyDescent="0.2">
      <c r="A338" s="4" t="s">
        <v>346</v>
      </c>
      <c r="B338" s="5" t="s">
        <v>1253</v>
      </c>
    </row>
    <row r="339" spans="1:2" ht="15.75" customHeight="1" x14ac:dyDescent="0.2">
      <c r="A339" s="4" t="s">
        <v>349</v>
      </c>
    </row>
    <row r="340" spans="1:2" ht="15.75" customHeight="1" x14ac:dyDescent="0.2">
      <c r="A340" s="4" t="s">
        <v>353</v>
      </c>
      <c r="B340" s="5" t="s">
        <v>1254</v>
      </c>
    </row>
    <row r="341" spans="1:2" ht="15.75" customHeight="1" x14ac:dyDescent="0.2">
      <c r="A341" s="4" t="s">
        <v>250</v>
      </c>
      <c r="B341" s="5" t="s">
        <v>1255</v>
      </c>
    </row>
    <row r="342" spans="1:2" ht="15.75" customHeight="1" x14ac:dyDescent="0.2">
      <c r="A342" s="4" t="s">
        <v>345</v>
      </c>
    </row>
    <row r="343" spans="1:2" ht="15.75" customHeight="1" x14ac:dyDescent="0.2">
      <c r="A343" s="4" t="s">
        <v>253</v>
      </c>
      <c r="B343" s="5" t="s">
        <v>1256</v>
      </c>
    </row>
    <row r="344" spans="1:2" ht="15.75" customHeight="1" x14ac:dyDescent="0.2">
      <c r="A344" s="4" t="s">
        <v>267</v>
      </c>
    </row>
    <row r="345" spans="1:2" ht="15.75" customHeight="1" x14ac:dyDescent="0.2">
      <c r="A345" s="4" t="s">
        <v>316</v>
      </c>
    </row>
    <row r="346" spans="1:2" ht="15.75" customHeight="1" x14ac:dyDescent="0.2">
      <c r="A346" s="4" t="s">
        <v>323</v>
      </c>
      <c r="B346" s="5" t="s">
        <v>1257</v>
      </c>
    </row>
    <row r="347" spans="1:2" ht="15.75" customHeight="1" x14ac:dyDescent="0.2">
      <c r="A347" s="4" t="s">
        <v>333</v>
      </c>
      <c r="B347" s="5" t="s">
        <v>1258</v>
      </c>
    </row>
    <row r="348" spans="1:2" ht="15.75" customHeight="1" x14ac:dyDescent="0.2">
      <c r="A348" s="4" t="s">
        <v>243</v>
      </c>
      <c r="B348" s="5" t="s">
        <v>1259</v>
      </c>
    </row>
    <row r="349" spans="1:2" ht="15.75" customHeight="1" x14ac:dyDescent="0.2">
      <c r="A349" s="4" t="s">
        <v>261</v>
      </c>
      <c r="B349" s="5" t="s">
        <v>1260</v>
      </c>
    </row>
    <row r="350" spans="1:2" ht="15.75" customHeight="1" x14ac:dyDescent="0.2">
      <c r="A350" s="4" t="s">
        <v>299</v>
      </c>
    </row>
    <row r="351" spans="1:2" ht="15.75" customHeight="1" x14ac:dyDescent="0.2">
      <c r="A351" s="4" t="s">
        <v>347</v>
      </c>
      <c r="B351" s="5" t="s">
        <v>1261</v>
      </c>
    </row>
    <row r="352" spans="1:2" ht="15.75" customHeight="1" x14ac:dyDescent="0.2">
      <c r="A352" s="4" t="s">
        <v>352</v>
      </c>
      <c r="B352" s="5" t="s">
        <v>1262</v>
      </c>
    </row>
    <row r="353" spans="1:2" ht="15.75" customHeight="1" x14ac:dyDescent="0.2">
      <c r="A353" s="4" t="s">
        <v>946</v>
      </c>
      <c r="B353" s="5" t="s">
        <v>1263</v>
      </c>
    </row>
    <row r="354" spans="1:2" ht="15.75" customHeight="1" x14ac:dyDescent="0.2">
      <c r="A354" s="4" t="s">
        <v>263</v>
      </c>
    </row>
    <row r="355" spans="1:2" ht="15.75" customHeight="1" x14ac:dyDescent="0.2">
      <c r="A355" s="4" t="s">
        <v>314</v>
      </c>
    </row>
    <row r="356" spans="1:2" ht="15.75" customHeight="1" x14ac:dyDescent="0.2">
      <c r="A356" s="4" t="s">
        <v>343</v>
      </c>
      <c r="B356" s="5" t="s">
        <v>1264</v>
      </c>
    </row>
    <row r="357" spans="1:2" ht="15.75" customHeight="1" x14ac:dyDescent="0.2">
      <c r="A357" s="4" t="s">
        <v>233</v>
      </c>
    </row>
    <row r="358" spans="1:2" ht="15.75" customHeight="1" x14ac:dyDescent="0.2">
      <c r="A358" s="4" t="s">
        <v>276</v>
      </c>
    </row>
    <row r="359" spans="1:2" ht="15.75" customHeight="1" x14ac:dyDescent="0.2">
      <c r="A359" s="4" t="s">
        <v>300</v>
      </c>
      <c r="B359" s="4" t="s">
        <v>1265</v>
      </c>
    </row>
    <row r="360" spans="1:2" ht="15.75" customHeight="1" x14ac:dyDescent="0.2">
      <c r="A360" s="4" t="s">
        <v>327</v>
      </c>
      <c r="B360" s="5" t="s">
        <v>1266</v>
      </c>
    </row>
    <row r="361" spans="1:2" ht="15.75" customHeight="1" x14ac:dyDescent="0.2">
      <c r="A361" s="4" t="s">
        <v>328</v>
      </c>
      <c r="B361" s="5" t="s">
        <v>1267</v>
      </c>
    </row>
    <row r="362" spans="1:2" ht="15.75" customHeight="1" x14ac:dyDescent="0.2">
      <c r="A362" s="4" t="s">
        <v>340</v>
      </c>
      <c r="B362" s="5" t="s">
        <v>1268</v>
      </c>
    </row>
    <row r="363" spans="1:2" ht="15.75" customHeight="1" x14ac:dyDescent="0.2">
      <c r="A363" s="4" t="s">
        <v>351</v>
      </c>
      <c r="B363" s="5" t="s">
        <v>1269</v>
      </c>
    </row>
    <row r="364" spans="1:2" ht="15.75" customHeight="1" x14ac:dyDescent="0.2">
      <c r="A364" s="4" t="s">
        <v>270</v>
      </c>
      <c r="B364" s="4" t="s">
        <v>1270</v>
      </c>
    </row>
    <row r="365" spans="1:2" ht="15.75" customHeight="1" x14ac:dyDescent="0.2">
      <c r="A365" s="4" t="s">
        <v>282</v>
      </c>
      <c r="B365" s="5" t="s">
        <v>1271</v>
      </c>
    </row>
    <row r="366" spans="1:2" ht="15.75" customHeight="1" x14ac:dyDescent="0.2"/>
    <row r="367" spans="1:2" ht="15.75" customHeight="1" x14ac:dyDescent="0.2"/>
    <row r="368" spans="1:2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  <row r="1282" ht="15.75" customHeight="1" x14ac:dyDescent="0.2"/>
    <row r="1283" ht="15.75" customHeight="1" x14ac:dyDescent="0.2"/>
    <row r="1284" ht="15.75" customHeight="1" x14ac:dyDescent="0.2"/>
    <row r="1285" ht="15.75" customHeight="1" x14ac:dyDescent="0.2"/>
    <row r="1286" ht="15.75" customHeight="1" x14ac:dyDescent="0.2"/>
    <row r="1287" ht="15.75" customHeight="1" x14ac:dyDescent="0.2"/>
    <row r="1288" ht="15.75" customHeight="1" x14ac:dyDescent="0.2"/>
    <row r="1289" ht="15.75" customHeight="1" x14ac:dyDescent="0.2"/>
    <row r="1290" ht="15.75" customHeight="1" x14ac:dyDescent="0.2"/>
    <row r="1291" ht="15.75" customHeight="1" x14ac:dyDescent="0.2"/>
    <row r="1292" ht="15.75" customHeight="1" x14ac:dyDescent="0.2"/>
    <row r="1293" ht="15.75" customHeight="1" x14ac:dyDescent="0.2"/>
    <row r="1294" ht="15.75" customHeight="1" x14ac:dyDescent="0.2"/>
    <row r="1295" ht="15.75" customHeight="1" x14ac:dyDescent="0.2"/>
    <row r="1296" ht="15.75" customHeight="1" x14ac:dyDescent="0.2"/>
    <row r="1297" ht="15.75" customHeight="1" x14ac:dyDescent="0.2"/>
    <row r="1298" ht="15.75" customHeight="1" x14ac:dyDescent="0.2"/>
    <row r="1299" ht="15.75" customHeight="1" x14ac:dyDescent="0.2"/>
    <row r="1300" ht="15.75" customHeight="1" x14ac:dyDescent="0.2"/>
    <row r="1301" ht="15.75" customHeight="1" x14ac:dyDescent="0.2"/>
    <row r="1302" ht="15.75" customHeight="1" x14ac:dyDescent="0.2"/>
    <row r="1303" ht="15.75" customHeight="1" x14ac:dyDescent="0.2"/>
    <row r="1304" ht="15.75" customHeight="1" x14ac:dyDescent="0.2"/>
    <row r="1305" ht="15.75" customHeight="1" x14ac:dyDescent="0.2"/>
    <row r="1306" ht="15.75" customHeight="1" x14ac:dyDescent="0.2"/>
    <row r="1307" ht="15.75" customHeight="1" x14ac:dyDescent="0.2"/>
    <row r="1308" ht="15.75" customHeight="1" x14ac:dyDescent="0.2"/>
    <row r="1309" ht="15.75" customHeight="1" x14ac:dyDescent="0.2"/>
    <row r="1310" ht="15.75" customHeight="1" x14ac:dyDescent="0.2"/>
    <row r="1311" ht="15.75" customHeight="1" x14ac:dyDescent="0.2"/>
    <row r="1312" ht="15.75" customHeight="1" x14ac:dyDescent="0.2"/>
    <row r="1313" ht="15.75" customHeight="1" x14ac:dyDescent="0.2"/>
    <row r="1314" ht="15.75" customHeight="1" x14ac:dyDescent="0.2"/>
    <row r="1315" ht="15.75" customHeight="1" x14ac:dyDescent="0.2"/>
    <row r="1316" ht="15.75" customHeight="1" x14ac:dyDescent="0.2"/>
    <row r="1317" ht="15.75" customHeight="1" x14ac:dyDescent="0.2"/>
    <row r="1318" ht="15.75" customHeight="1" x14ac:dyDescent="0.2"/>
    <row r="1319" ht="15.75" customHeight="1" x14ac:dyDescent="0.2"/>
    <row r="1320" ht="15.75" customHeight="1" x14ac:dyDescent="0.2"/>
    <row r="1321" ht="15.75" customHeight="1" x14ac:dyDescent="0.2"/>
    <row r="1322" ht="15.75" customHeight="1" x14ac:dyDescent="0.2"/>
    <row r="1323" ht="15.75" customHeight="1" x14ac:dyDescent="0.2"/>
    <row r="1324" ht="15.75" customHeight="1" x14ac:dyDescent="0.2"/>
    <row r="1325" ht="15.75" customHeight="1" x14ac:dyDescent="0.2"/>
    <row r="1326" ht="15.75" customHeight="1" x14ac:dyDescent="0.2"/>
    <row r="1327" ht="15.75" customHeight="1" x14ac:dyDescent="0.2"/>
    <row r="1328" ht="15.75" customHeight="1" x14ac:dyDescent="0.2"/>
    <row r="1329" ht="15.75" customHeight="1" x14ac:dyDescent="0.2"/>
    <row r="1330" ht="15.75" customHeight="1" x14ac:dyDescent="0.2"/>
    <row r="1331" ht="15.75" customHeight="1" x14ac:dyDescent="0.2"/>
    <row r="1332" ht="15.75" customHeight="1" x14ac:dyDescent="0.2"/>
    <row r="1333" ht="15.75" customHeight="1" x14ac:dyDescent="0.2"/>
    <row r="1334" ht="15.75" customHeight="1" x14ac:dyDescent="0.2"/>
    <row r="1335" ht="15.75" customHeight="1" x14ac:dyDescent="0.2"/>
    <row r="1336" ht="15.75" customHeight="1" x14ac:dyDescent="0.2"/>
    <row r="1337" ht="15.75" customHeight="1" x14ac:dyDescent="0.2"/>
    <row r="1338" ht="15.75" customHeight="1" x14ac:dyDescent="0.2"/>
    <row r="1339" ht="15.75" customHeight="1" x14ac:dyDescent="0.2"/>
    <row r="1340" ht="15.75" customHeight="1" x14ac:dyDescent="0.2"/>
    <row r="1341" ht="15.75" customHeight="1" x14ac:dyDescent="0.2"/>
    <row r="1342" ht="15.75" customHeight="1" x14ac:dyDescent="0.2"/>
    <row r="1343" ht="15.75" customHeight="1" x14ac:dyDescent="0.2"/>
    <row r="1344" ht="15.75" customHeight="1" x14ac:dyDescent="0.2"/>
    <row r="1345" ht="15.75" customHeight="1" x14ac:dyDescent="0.2"/>
    <row r="1346" ht="15.75" customHeight="1" x14ac:dyDescent="0.2"/>
    <row r="1347" ht="15.75" customHeight="1" x14ac:dyDescent="0.2"/>
    <row r="1348" ht="15.75" customHeight="1" x14ac:dyDescent="0.2"/>
    <row r="1349" ht="15.75" customHeight="1" x14ac:dyDescent="0.2"/>
    <row r="1350" ht="15.75" customHeight="1" x14ac:dyDescent="0.2"/>
    <row r="1351" ht="15.75" customHeight="1" x14ac:dyDescent="0.2"/>
    <row r="1352" ht="15.75" customHeight="1" x14ac:dyDescent="0.2"/>
    <row r="1353" ht="15.75" customHeight="1" x14ac:dyDescent="0.2"/>
    <row r="1354" ht="15.75" customHeight="1" x14ac:dyDescent="0.2"/>
    <row r="1355" ht="15.75" customHeight="1" x14ac:dyDescent="0.2"/>
    <row r="1356" ht="15.75" customHeight="1" x14ac:dyDescent="0.2"/>
    <row r="1357" ht="15.75" customHeight="1" x14ac:dyDescent="0.2"/>
    <row r="1358" ht="15.75" customHeight="1" x14ac:dyDescent="0.2"/>
    <row r="1359" ht="15.75" customHeight="1" x14ac:dyDescent="0.2"/>
    <row r="1360" ht="15.75" customHeight="1" x14ac:dyDescent="0.2"/>
    <row r="1361" ht="15.75" customHeight="1" x14ac:dyDescent="0.2"/>
    <row r="1362" ht="15.75" customHeight="1" x14ac:dyDescent="0.2"/>
    <row r="1363" ht="15.75" customHeight="1" x14ac:dyDescent="0.2"/>
    <row r="1364" ht="15.75" customHeight="1" x14ac:dyDescent="0.2"/>
    <row r="1365" ht="15.75" customHeight="1" x14ac:dyDescent="0.2"/>
    <row r="1366" ht="15.75" customHeight="1" x14ac:dyDescent="0.2"/>
    <row r="1367" ht="15.75" customHeight="1" x14ac:dyDescent="0.2"/>
    <row r="1368" ht="15.75" customHeight="1" x14ac:dyDescent="0.2"/>
    <row r="1369" ht="15.75" customHeight="1" x14ac:dyDescent="0.2"/>
    <row r="1370" ht="15.75" customHeight="1" x14ac:dyDescent="0.2"/>
    <row r="1371" ht="15.7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5.75" customHeight="1" x14ac:dyDescent="0.2"/>
    <row r="1379" ht="15.7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5.75" customHeight="1" x14ac:dyDescent="0.2"/>
    <row r="1385" ht="15.75" customHeight="1" x14ac:dyDescent="0.2"/>
    <row r="1386" ht="15.75" customHeight="1" x14ac:dyDescent="0.2"/>
    <row r="1387" ht="15.75" customHeight="1" x14ac:dyDescent="0.2"/>
    <row r="1388" ht="15.75" customHeight="1" x14ac:dyDescent="0.2"/>
    <row r="1389" ht="15.75" customHeight="1" x14ac:dyDescent="0.2"/>
    <row r="1390" ht="15.75" customHeight="1" x14ac:dyDescent="0.2"/>
    <row r="1391" ht="15.75" customHeight="1" x14ac:dyDescent="0.2"/>
    <row r="1392" ht="15.75" customHeight="1" x14ac:dyDescent="0.2"/>
    <row r="1393" ht="15.75" customHeight="1" x14ac:dyDescent="0.2"/>
    <row r="1394" ht="15.75" customHeight="1" x14ac:dyDescent="0.2"/>
    <row r="1395" ht="15.75" customHeight="1" x14ac:dyDescent="0.2"/>
    <row r="1396" ht="15.75" customHeight="1" x14ac:dyDescent="0.2"/>
    <row r="1397" ht="15.75" customHeight="1" x14ac:dyDescent="0.2"/>
    <row r="1398" ht="15.75" customHeight="1" x14ac:dyDescent="0.2"/>
    <row r="1399" ht="15.75" customHeight="1" x14ac:dyDescent="0.2"/>
    <row r="1400" ht="15.75" customHeight="1" x14ac:dyDescent="0.2"/>
    <row r="1401" ht="15.75" customHeight="1" x14ac:dyDescent="0.2"/>
    <row r="1402" ht="15.75" customHeight="1" x14ac:dyDescent="0.2"/>
    <row r="1403" ht="15.75" customHeight="1" x14ac:dyDescent="0.2"/>
    <row r="1404" ht="15.75" customHeight="1" x14ac:dyDescent="0.2"/>
    <row r="1405" ht="15.75" customHeight="1" x14ac:dyDescent="0.2"/>
    <row r="1406" ht="15.75" customHeight="1" x14ac:dyDescent="0.2"/>
    <row r="1407" ht="15.75" customHeight="1" x14ac:dyDescent="0.2"/>
    <row r="1408" ht="15.75" customHeight="1" x14ac:dyDescent="0.2"/>
    <row r="1409" ht="15.75" customHeight="1" x14ac:dyDescent="0.2"/>
    <row r="1410" ht="15.75" customHeight="1" x14ac:dyDescent="0.2"/>
    <row r="1411" ht="15.75" customHeight="1" x14ac:dyDescent="0.2"/>
    <row r="1412" ht="15.75" customHeight="1" x14ac:dyDescent="0.2"/>
    <row r="1413" ht="15.75" customHeight="1" x14ac:dyDescent="0.2"/>
    <row r="1414" ht="15.75" customHeight="1" x14ac:dyDescent="0.2"/>
    <row r="1415" ht="15.75" customHeight="1" x14ac:dyDescent="0.2"/>
    <row r="1416" ht="15.75" customHeight="1" x14ac:dyDescent="0.2"/>
    <row r="1417" ht="15.75" customHeight="1" x14ac:dyDescent="0.2"/>
    <row r="1418" ht="15.75" customHeight="1" x14ac:dyDescent="0.2"/>
    <row r="1419" ht="15.75" customHeight="1" x14ac:dyDescent="0.2"/>
    <row r="1420" ht="15.75" customHeight="1" x14ac:dyDescent="0.2"/>
    <row r="1421" ht="15.75" customHeight="1" x14ac:dyDescent="0.2"/>
    <row r="1422" ht="15.75" customHeight="1" x14ac:dyDescent="0.2"/>
    <row r="1423" ht="15.75" customHeight="1" x14ac:dyDescent="0.2"/>
    <row r="1424" ht="15.75" customHeight="1" x14ac:dyDescent="0.2"/>
    <row r="1425" ht="15.75" customHeight="1" x14ac:dyDescent="0.2"/>
    <row r="1426" ht="15.75" customHeight="1" x14ac:dyDescent="0.2"/>
    <row r="1427" ht="15.75" customHeight="1" x14ac:dyDescent="0.2"/>
    <row r="1428" ht="15.75" customHeight="1" x14ac:dyDescent="0.2"/>
    <row r="1429" ht="15.75" customHeight="1" x14ac:dyDescent="0.2"/>
    <row r="1430" ht="15.75" customHeight="1" x14ac:dyDescent="0.2"/>
    <row r="1431" ht="15.75" customHeight="1" x14ac:dyDescent="0.2"/>
    <row r="1432" ht="15.75" customHeight="1" x14ac:dyDescent="0.2"/>
    <row r="1433" ht="15.75" customHeight="1" x14ac:dyDescent="0.2"/>
    <row r="1434" ht="15.75" customHeight="1" x14ac:dyDescent="0.2"/>
    <row r="1435" ht="15.75" customHeight="1" x14ac:dyDescent="0.2"/>
    <row r="1436" ht="15.75" customHeight="1" x14ac:dyDescent="0.2"/>
    <row r="1437" ht="15.75" customHeight="1" x14ac:dyDescent="0.2"/>
    <row r="1438" ht="15.75" customHeight="1" x14ac:dyDescent="0.2"/>
    <row r="1439" ht="15.75" customHeight="1" x14ac:dyDescent="0.2"/>
    <row r="1440" ht="15.75" customHeight="1" x14ac:dyDescent="0.2"/>
    <row r="1441" ht="15.75" customHeight="1" x14ac:dyDescent="0.2"/>
    <row r="1442" ht="15.75" customHeight="1" x14ac:dyDescent="0.2"/>
    <row r="1443" ht="15.75" customHeight="1" x14ac:dyDescent="0.2"/>
    <row r="1444" ht="15.75" customHeight="1" x14ac:dyDescent="0.2"/>
    <row r="1445" ht="15.75" customHeight="1" x14ac:dyDescent="0.2"/>
    <row r="1446" ht="15.75" customHeight="1" x14ac:dyDescent="0.2"/>
    <row r="1447" ht="15.75" customHeight="1" x14ac:dyDescent="0.2"/>
    <row r="1448" ht="15.75" customHeight="1" x14ac:dyDescent="0.2"/>
    <row r="1449" ht="15.75" customHeight="1" x14ac:dyDescent="0.2"/>
    <row r="1450" ht="15.75" customHeight="1" x14ac:dyDescent="0.2"/>
    <row r="1451" ht="15.75" customHeight="1" x14ac:dyDescent="0.2"/>
    <row r="1452" ht="15.75" customHeight="1" x14ac:dyDescent="0.2"/>
    <row r="1453" ht="15.75" customHeight="1" x14ac:dyDescent="0.2"/>
    <row r="1454" ht="15.75" customHeight="1" x14ac:dyDescent="0.2"/>
    <row r="1455" ht="15.75" customHeight="1" x14ac:dyDescent="0.2"/>
    <row r="1456" ht="15.75" customHeight="1" x14ac:dyDescent="0.2"/>
    <row r="1457" ht="15.75" customHeight="1" x14ac:dyDescent="0.2"/>
    <row r="1458" ht="15.75" customHeight="1" x14ac:dyDescent="0.2"/>
    <row r="1459" ht="15.75" customHeight="1" x14ac:dyDescent="0.2"/>
    <row r="1460" ht="15.75" customHeight="1" x14ac:dyDescent="0.2"/>
    <row r="1461" ht="15.75" customHeight="1" x14ac:dyDescent="0.2"/>
    <row r="1462" ht="15.75" customHeight="1" x14ac:dyDescent="0.2"/>
    <row r="1463" ht="15.75" customHeight="1" x14ac:dyDescent="0.2"/>
    <row r="1464" ht="15.75" customHeight="1" x14ac:dyDescent="0.2"/>
    <row r="1465" ht="15.75" customHeight="1" x14ac:dyDescent="0.2"/>
    <row r="1466" ht="15.75" customHeight="1" x14ac:dyDescent="0.2"/>
    <row r="1467" ht="15.75" customHeight="1" x14ac:dyDescent="0.2"/>
    <row r="1468" ht="15.75" customHeight="1" x14ac:dyDescent="0.2"/>
    <row r="1469" ht="15.75" customHeight="1" x14ac:dyDescent="0.2"/>
    <row r="1470" ht="15.75" customHeight="1" x14ac:dyDescent="0.2"/>
    <row r="1471" ht="15.75" customHeight="1" x14ac:dyDescent="0.2"/>
    <row r="1472" ht="15.75" customHeight="1" x14ac:dyDescent="0.2"/>
    <row r="1473" ht="15.75" customHeight="1" x14ac:dyDescent="0.2"/>
    <row r="1474" ht="15.75" customHeight="1" x14ac:dyDescent="0.2"/>
    <row r="1475" ht="15.75" customHeight="1" x14ac:dyDescent="0.2"/>
    <row r="1476" ht="15.75" customHeight="1" x14ac:dyDescent="0.2"/>
    <row r="1477" ht="15.75" customHeight="1" x14ac:dyDescent="0.2"/>
    <row r="1478" ht="15.75" customHeight="1" x14ac:dyDescent="0.2"/>
    <row r="1479" ht="15.75" customHeight="1" x14ac:dyDescent="0.2"/>
    <row r="1480" ht="15.75" customHeight="1" x14ac:dyDescent="0.2"/>
    <row r="1481" ht="15.75" customHeight="1" x14ac:dyDescent="0.2"/>
    <row r="1482" ht="15.75" customHeight="1" x14ac:dyDescent="0.2"/>
    <row r="1483" ht="15.75" customHeight="1" x14ac:dyDescent="0.2"/>
    <row r="1484" ht="15.75" customHeight="1" x14ac:dyDescent="0.2"/>
    <row r="1485" ht="15.75" customHeight="1" x14ac:dyDescent="0.2"/>
    <row r="1486" ht="15.75" customHeight="1" x14ac:dyDescent="0.2"/>
    <row r="1487" ht="15.75" customHeight="1" x14ac:dyDescent="0.2"/>
    <row r="1488" ht="15.75" customHeight="1" x14ac:dyDescent="0.2"/>
    <row r="1489" ht="15.75" customHeight="1" x14ac:dyDescent="0.2"/>
    <row r="1490" ht="15.75" customHeight="1" x14ac:dyDescent="0.2"/>
    <row r="1491" ht="15.75" customHeight="1" x14ac:dyDescent="0.2"/>
    <row r="1492" ht="15.75" customHeight="1" x14ac:dyDescent="0.2"/>
    <row r="1493" ht="15.75" customHeight="1" x14ac:dyDescent="0.2"/>
    <row r="1494" ht="15.75" customHeight="1" x14ac:dyDescent="0.2"/>
    <row r="1495" ht="15.75" customHeight="1" x14ac:dyDescent="0.2"/>
    <row r="1496" ht="15.75" customHeight="1" x14ac:dyDescent="0.2"/>
    <row r="1497" ht="15.75" customHeight="1" x14ac:dyDescent="0.2"/>
    <row r="1498" ht="15.75" customHeight="1" x14ac:dyDescent="0.2"/>
    <row r="1499" ht="15.75" customHeight="1" x14ac:dyDescent="0.2"/>
    <row r="1500" ht="15.75" customHeight="1" x14ac:dyDescent="0.2"/>
    <row r="1501" ht="15.75" customHeight="1" x14ac:dyDescent="0.2"/>
    <row r="1502" ht="15.75" customHeight="1" x14ac:dyDescent="0.2"/>
    <row r="1503" ht="15.75" customHeight="1" x14ac:dyDescent="0.2"/>
    <row r="1504" ht="15.75" customHeight="1" x14ac:dyDescent="0.2"/>
    <row r="1505" ht="15.75" customHeight="1" x14ac:dyDescent="0.2"/>
    <row r="1506" ht="15.75" customHeight="1" x14ac:dyDescent="0.2"/>
    <row r="1507" ht="15.75" customHeight="1" x14ac:dyDescent="0.2"/>
    <row r="1508" ht="15.75" customHeight="1" x14ac:dyDescent="0.2"/>
    <row r="1509" ht="15.75" customHeight="1" x14ac:dyDescent="0.2"/>
    <row r="1510" ht="15.75" customHeight="1" x14ac:dyDescent="0.2"/>
    <row r="1511" ht="15.75" customHeight="1" x14ac:dyDescent="0.2"/>
    <row r="1512" ht="15.75" customHeight="1" x14ac:dyDescent="0.2"/>
    <row r="1513" ht="15.75" customHeight="1" x14ac:dyDescent="0.2"/>
    <row r="1514" ht="15.75" customHeight="1" x14ac:dyDescent="0.2"/>
    <row r="1515" ht="15.75" customHeight="1" x14ac:dyDescent="0.2"/>
    <row r="1516" ht="15.75" customHeight="1" x14ac:dyDescent="0.2"/>
    <row r="1517" ht="15.75" customHeight="1" x14ac:dyDescent="0.2"/>
    <row r="1518" ht="15.75" customHeight="1" x14ac:dyDescent="0.2"/>
    <row r="1519" ht="15.75" customHeight="1" x14ac:dyDescent="0.2"/>
    <row r="1520" ht="15.75" customHeight="1" x14ac:dyDescent="0.2"/>
    <row r="1521" ht="15.75" customHeight="1" x14ac:dyDescent="0.2"/>
    <row r="1522" ht="15.75" customHeight="1" x14ac:dyDescent="0.2"/>
    <row r="1523" ht="15.75" customHeight="1" x14ac:dyDescent="0.2"/>
    <row r="1524" ht="15.75" customHeight="1" x14ac:dyDescent="0.2"/>
    <row r="1525" ht="15.75" customHeight="1" x14ac:dyDescent="0.2"/>
    <row r="1526" ht="15.75" customHeight="1" x14ac:dyDescent="0.2"/>
    <row r="1527" ht="15.75" customHeight="1" x14ac:dyDescent="0.2"/>
    <row r="1528" ht="15.75" customHeight="1" x14ac:dyDescent="0.2"/>
    <row r="1529" ht="15.75" customHeight="1" x14ac:dyDescent="0.2"/>
    <row r="1530" ht="15.75" customHeight="1" x14ac:dyDescent="0.2"/>
    <row r="1531" ht="15.75" customHeight="1" x14ac:dyDescent="0.2"/>
    <row r="1532" ht="15.75" customHeight="1" x14ac:dyDescent="0.2"/>
    <row r="1533" ht="15.75" customHeight="1" x14ac:dyDescent="0.2"/>
    <row r="1534" ht="15.75" customHeight="1" x14ac:dyDescent="0.2"/>
    <row r="1535" ht="15.75" customHeight="1" x14ac:dyDescent="0.2"/>
    <row r="1536" ht="15.75" customHeight="1" x14ac:dyDescent="0.2"/>
    <row r="1537" ht="15.75" customHeight="1" x14ac:dyDescent="0.2"/>
    <row r="1538" ht="15.75" customHeight="1" x14ac:dyDescent="0.2"/>
    <row r="1539" ht="15.75" customHeight="1" x14ac:dyDescent="0.2"/>
    <row r="1540" ht="15.75" customHeight="1" x14ac:dyDescent="0.2"/>
    <row r="1541" ht="15.75" customHeight="1" x14ac:dyDescent="0.2"/>
    <row r="1542" ht="15.75" customHeight="1" x14ac:dyDescent="0.2"/>
    <row r="1543" ht="15.75" customHeight="1" x14ac:dyDescent="0.2"/>
    <row r="1544" ht="15.75" customHeight="1" x14ac:dyDescent="0.2"/>
    <row r="1545" ht="15.75" customHeight="1" x14ac:dyDescent="0.2"/>
    <row r="1546" ht="15.75" customHeight="1" x14ac:dyDescent="0.2"/>
    <row r="1547" ht="15.75" customHeight="1" x14ac:dyDescent="0.2"/>
    <row r="1548" ht="15.75" customHeight="1" x14ac:dyDescent="0.2"/>
    <row r="1549" ht="15.75" customHeight="1" x14ac:dyDescent="0.2"/>
    <row r="1550" ht="15.75" customHeight="1" x14ac:dyDescent="0.2"/>
    <row r="1551" ht="15.75" customHeight="1" x14ac:dyDescent="0.2"/>
    <row r="1552" ht="15.75" customHeight="1" x14ac:dyDescent="0.2"/>
    <row r="1553" ht="15.75" customHeight="1" x14ac:dyDescent="0.2"/>
    <row r="1554" ht="15.75" customHeight="1" x14ac:dyDescent="0.2"/>
    <row r="1555" ht="15.75" customHeight="1" x14ac:dyDescent="0.2"/>
    <row r="1556" ht="15.75" customHeight="1" x14ac:dyDescent="0.2"/>
    <row r="1557" ht="15.75" customHeight="1" x14ac:dyDescent="0.2"/>
    <row r="1558" ht="15.75" customHeight="1" x14ac:dyDescent="0.2"/>
    <row r="1559" ht="15.75" customHeight="1" x14ac:dyDescent="0.2"/>
    <row r="1560" ht="15.75" customHeight="1" x14ac:dyDescent="0.2"/>
    <row r="1561" ht="15.75" customHeight="1" x14ac:dyDescent="0.2"/>
    <row r="1562" ht="15.75" customHeight="1" x14ac:dyDescent="0.2"/>
    <row r="1563" ht="15.75" customHeight="1" x14ac:dyDescent="0.2"/>
    <row r="1564" ht="15.75" customHeight="1" x14ac:dyDescent="0.2"/>
    <row r="1565" ht="15.75" customHeight="1" x14ac:dyDescent="0.2"/>
    <row r="1566" ht="15.75" customHeight="1" x14ac:dyDescent="0.2"/>
    <row r="1567" ht="15.75" customHeight="1" x14ac:dyDescent="0.2"/>
    <row r="1568" ht="15.75" customHeight="1" x14ac:dyDescent="0.2"/>
    <row r="1569" ht="15.75" customHeight="1" x14ac:dyDescent="0.2"/>
    <row r="1570" ht="15.75" customHeight="1" x14ac:dyDescent="0.2"/>
    <row r="1571" ht="15.75" customHeight="1" x14ac:dyDescent="0.2"/>
    <row r="1572" ht="15.75" customHeight="1" x14ac:dyDescent="0.2"/>
    <row r="1573" ht="15.75" customHeight="1" x14ac:dyDescent="0.2"/>
    <row r="1574" ht="15.75" customHeight="1" x14ac:dyDescent="0.2"/>
    <row r="1575" ht="15.75" customHeight="1" x14ac:dyDescent="0.2"/>
    <row r="1576" ht="15.75" customHeight="1" x14ac:dyDescent="0.2"/>
    <row r="1577" ht="15.75" customHeight="1" x14ac:dyDescent="0.2"/>
    <row r="1578" ht="15.75" customHeight="1" x14ac:dyDescent="0.2"/>
    <row r="1579" ht="15.75" customHeight="1" x14ac:dyDescent="0.2"/>
    <row r="1580" ht="15.75" customHeight="1" x14ac:dyDescent="0.2"/>
    <row r="1581" ht="15.75" customHeight="1" x14ac:dyDescent="0.2"/>
    <row r="1582" ht="15.75" customHeight="1" x14ac:dyDescent="0.2"/>
    <row r="1583" ht="15.75" customHeight="1" x14ac:dyDescent="0.2"/>
    <row r="1584" ht="15.75" customHeight="1" x14ac:dyDescent="0.2"/>
    <row r="1585" ht="15.75" customHeight="1" x14ac:dyDescent="0.2"/>
    <row r="1586" ht="15.75" customHeight="1" x14ac:dyDescent="0.2"/>
    <row r="1587" ht="15.75" customHeight="1" x14ac:dyDescent="0.2"/>
    <row r="1588" ht="15.75" customHeight="1" x14ac:dyDescent="0.2"/>
    <row r="1589" ht="15.75" customHeight="1" x14ac:dyDescent="0.2"/>
    <row r="1590" ht="15.75" customHeight="1" x14ac:dyDescent="0.2"/>
    <row r="1591" ht="15.75" customHeight="1" x14ac:dyDescent="0.2"/>
    <row r="1592" ht="15.75" customHeight="1" x14ac:dyDescent="0.2"/>
    <row r="1593" ht="15.75" customHeight="1" x14ac:dyDescent="0.2"/>
    <row r="1594" ht="15.75" customHeight="1" x14ac:dyDescent="0.2"/>
    <row r="1595" ht="15.75" customHeight="1" x14ac:dyDescent="0.2"/>
    <row r="1596" ht="15.75" customHeight="1" x14ac:dyDescent="0.2"/>
    <row r="1597" ht="15.75" customHeight="1" x14ac:dyDescent="0.2"/>
    <row r="1598" ht="15.75" customHeight="1" x14ac:dyDescent="0.2"/>
    <row r="1599" ht="15.75" customHeight="1" x14ac:dyDescent="0.2"/>
    <row r="1600" ht="15.75" customHeight="1" x14ac:dyDescent="0.2"/>
    <row r="1601" ht="15.75" customHeight="1" x14ac:dyDescent="0.2"/>
    <row r="1602" ht="15.75" customHeight="1" x14ac:dyDescent="0.2"/>
    <row r="1603" ht="15.75" customHeight="1" x14ac:dyDescent="0.2"/>
    <row r="1604" ht="15.75" customHeight="1" x14ac:dyDescent="0.2"/>
    <row r="1605" ht="15.75" customHeight="1" x14ac:dyDescent="0.2"/>
    <row r="1606" ht="15.75" customHeight="1" x14ac:dyDescent="0.2"/>
    <row r="1607" ht="15.75" customHeight="1" x14ac:dyDescent="0.2"/>
    <row r="1608" ht="15.75" customHeight="1" x14ac:dyDescent="0.2"/>
    <row r="1609" ht="15.75" customHeight="1" x14ac:dyDescent="0.2"/>
    <row r="1610" ht="15.75" customHeight="1" x14ac:dyDescent="0.2"/>
    <row r="1611" ht="15.75" customHeight="1" x14ac:dyDescent="0.2"/>
    <row r="1612" ht="15.75" customHeight="1" x14ac:dyDescent="0.2"/>
    <row r="1613" ht="15.75" customHeight="1" x14ac:dyDescent="0.2"/>
    <row r="1614" ht="15.75" customHeight="1" x14ac:dyDescent="0.2"/>
    <row r="1615" ht="15.75" customHeight="1" x14ac:dyDescent="0.2"/>
    <row r="1616" ht="15.75" customHeight="1" x14ac:dyDescent="0.2"/>
    <row r="1617" ht="15.75" customHeight="1" x14ac:dyDescent="0.2"/>
    <row r="1618" ht="15.75" customHeight="1" x14ac:dyDescent="0.2"/>
    <row r="1619" ht="15.75" customHeight="1" x14ac:dyDescent="0.2"/>
    <row r="1620" ht="15.75" customHeight="1" x14ac:dyDescent="0.2"/>
    <row r="1621" ht="15.75" customHeight="1" x14ac:dyDescent="0.2"/>
    <row r="1622" ht="15.75" customHeight="1" x14ac:dyDescent="0.2"/>
    <row r="1623" ht="15.75" customHeight="1" x14ac:dyDescent="0.2"/>
    <row r="1624" ht="15.75" customHeight="1" x14ac:dyDescent="0.2"/>
    <row r="1625" ht="15.75" customHeight="1" x14ac:dyDescent="0.2"/>
    <row r="1626" ht="15.75" customHeight="1" x14ac:dyDescent="0.2"/>
    <row r="1627" ht="15.75" customHeight="1" x14ac:dyDescent="0.2"/>
    <row r="1628" ht="15.75" customHeight="1" x14ac:dyDescent="0.2"/>
    <row r="1629" ht="15.75" customHeight="1" x14ac:dyDescent="0.2"/>
    <row r="1630" ht="15.75" customHeight="1" x14ac:dyDescent="0.2"/>
    <row r="1631" ht="15.75" customHeight="1" x14ac:dyDescent="0.2"/>
    <row r="1632" ht="15.75" customHeight="1" x14ac:dyDescent="0.2"/>
    <row r="1633" ht="15.75" customHeight="1" x14ac:dyDescent="0.2"/>
    <row r="1634" ht="15.75" customHeight="1" x14ac:dyDescent="0.2"/>
    <row r="1635" ht="15.75" customHeight="1" x14ac:dyDescent="0.2"/>
    <row r="1636" ht="15.75" customHeight="1" x14ac:dyDescent="0.2"/>
    <row r="1637" ht="15.75" customHeight="1" x14ac:dyDescent="0.2"/>
    <row r="1638" ht="15.75" customHeight="1" x14ac:dyDescent="0.2"/>
    <row r="1639" ht="15.75" customHeight="1" x14ac:dyDescent="0.2"/>
    <row r="1640" ht="15.75" customHeight="1" x14ac:dyDescent="0.2"/>
    <row r="1641" ht="15.75" customHeight="1" x14ac:dyDescent="0.2"/>
    <row r="1642" ht="15.75" customHeight="1" x14ac:dyDescent="0.2"/>
    <row r="1643" ht="15.75" customHeight="1" x14ac:dyDescent="0.2"/>
    <row r="1644" ht="15.75" customHeight="1" x14ac:dyDescent="0.2"/>
    <row r="1645" ht="15.75" customHeight="1" x14ac:dyDescent="0.2"/>
    <row r="1646" ht="15.75" customHeight="1" x14ac:dyDescent="0.2"/>
    <row r="1647" ht="15.75" customHeight="1" x14ac:dyDescent="0.2"/>
    <row r="1648" ht="15.75" customHeight="1" x14ac:dyDescent="0.2"/>
    <row r="1649" ht="15.75" customHeight="1" x14ac:dyDescent="0.2"/>
    <row r="1650" ht="15.75" customHeight="1" x14ac:dyDescent="0.2"/>
    <row r="1651" ht="15.75" customHeight="1" x14ac:dyDescent="0.2"/>
    <row r="1652" ht="15.75" customHeight="1" x14ac:dyDescent="0.2"/>
    <row r="1653" ht="15.75" customHeight="1" x14ac:dyDescent="0.2"/>
    <row r="1654" ht="15.75" customHeight="1" x14ac:dyDescent="0.2"/>
    <row r="1655" ht="15.75" customHeight="1" x14ac:dyDescent="0.2"/>
    <row r="1656" ht="15.75" customHeight="1" x14ac:dyDescent="0.2"/>
    <row r="1657" ht="15.75" customHeight="1" x14ac:dyDescent="0.2"/>
    <row r="1658" ht="15.75" customHeight="1" x14ac:dyDescent="0.2"/>
    <row r="1659" ht="15.75" customHeight="1" x14ac:dyDescent="0.2"/>
    <row r="1660" ht="15.75" customHeight="1" x14ac:dyDescent="0.2"/>
    <row r="1661" ht="15.75" customHeight="1" x14ac:dyDescent="0.2"/>
    <row r="1662" ht="15.75" customHeight="1" x14ac:dyDescent="0.2"/>
    <row r="1663" ht="15.75" customHeight="1" x14ac:dyDescent="0.2"/>
    <row r="1664" ht="15.75" customHeight="1" x14ac:dyDescent="0.2"/>
    <row r="1665" ht="15.75" customHeight="1" x14ac:dyDescent="0.2"/>
    <row r="1666" ht="15.75" customHeight="1" x14ac:dyDescent="0.2"/>
    <row r="1667" ht="15.75" customHeight="1" x14ac:dyDescent="0.2"/>
    <row r="1668" ht="15.75" customHeight="1" x14ac:dyDescent="0.2"/>
    <row r="1669" ht="15.75" customHeight="1" x14ac:dyDescent="0.2"/>
    <row r="1670" ht="15.75" customHeight="1" x14ac:dyDescent="0.2"/>
    <row r="1671" ht="15.75" customHeight="1" x14ac:dyDescent="0.2"/>
    <row r="1672" ht="15.75" customHeight="1" x14ac:dyDescent="0.2"/>
    <row r="1673" ht="15.75" customHeight="1" x14ac:dyDescent="0.2"/>
    <row r="1674" ht="15.75" customHeight="1" x14ac:dyDescent="0.2"/>
    <row r="1675" ht="15.75" customHeight="1" x14ac:dyDescent="0.2"/>
    <row r="1676" ht="15.75" customHeight="1" x14ac:dyDescent="0.2"/>
    <row r="1677" ht="15.75" customHeight="1" x14ac:dyDescent="0.2"/>
    <row r="1678" ht="15.75" customHeight="1" x14ac:dyDescent="0.2"/>
    <row r="1679" ht="15.75" customHeight="1" x14ac:dyDescent="0.2"/>
    <row r="1680" ht="15.75" customHeight="1" x14ac:dyDescent="0.2"/>
    <row r="1681" ht="15.75" customHeight="1" x14ac:dyDescent="0.2"/>
    <row r="1682" ht="15.75" customHeight="1" x14ac:dyDescent="0.2"/>
    <row r="1683" ht="15.75" customHeight="1" x14ac:dyDescent="0.2"/>
    <row r="1684" ht="15.75" customHeight="1" x14ac:dyDescent="0.2"/>
    <row r="1685" ht="15.75" customHeight="1" x14ac:dyDescent="0.2"/>
    <row r="1686" ht="15.75" customHeight="1" x14ac:dyDescent="0.2"/>
    <row r="1687" ht="15.75" customHeight="1" x14ac:dyDescent="0.2"/>
    <row r="1688" ht="15.75" customHeight="1" x14ac:dyDescent="0.2"/>
    <row r="1689" ht="15.75" customHeight="1" x14ac:dyDescent="0.2"/>
    <row r="1690" ht="15.75" customHeight="1" x14ac:dyDescent="0.2"/>
    <row r="1691" ht="15.75" customHeight="1" x14ac:dyDescent="0.2"/>
    <row r="1692" ht="15.75" customHeight="1" x14ac:dyDescent="0.2"/>
    <row r="1693" ht="15.75" customHeight="1" x14ac:dyDescent="0.2"/>
    <row r="1694" ht="15.75" customHeight="1" x14ac:dyDescent="0.2"/>
    <row r="1695" ht="15.75" customHeight="1" x14ac:dyDescent="0.2"/>
    <row r="1696" ht="15.75" customHeight="1" x14ac:dyDescent="0.2"/>
    <row r="1697" ht="15.75" customHeight="1" x14ac:dyDescent="0.2"/>
    <row r="1698" ht="15.75" customHeight="1" x14ac:dyDescent="0.2"/>
    <row r="1699" ht="15.75" customHeight="1" x14ac:dyDescent="0.2"/>
    <row r="1700" ht="15.75" customHeight="1" x14ac:dyDescent="0.2"/>
    <row r="1701" ht="15.75" customHeight="1" x14ac:dyDescent="0.2"/>
    <row r="1702" ht="15.75" customHeight="1" x14ac:dyDescent="0.2"/>
    <row r="1703" ht="15.75" customHeight="1" x14ac:dyDescent="0.2"/>
    <row r="1704" ht="15.75" customHeight="1" x14ac:dyDescent="0.2"/>
    <row r="1705" ht="15.75" customHeight="1" x14ac:dyDescent="0.2"/>
    <row r="1706" ht="15.75" customHeight="1" x14ac:dyDescent="0.2"/>
    <row r="1707" ht="15.75" customHeight="1" x14ac:dyDescent="0.2"/>
    <row r="1708" ht="15.75" customHeight="1" x14ac:dyDescent="0.2"/>
    <row r="1709" ht="15.75" customHeight="1" x14ac:dyDescent="0.2"/>
    <row r="1710" ht="15.75" customHeight="1" x14ac:dyDescent="0.2"/>
    <row r="1711" ht="15.75" customHeight="1" x14ac:dyDescent="0.2"/>
    <row r="1712" ht="15.75" customHeight="1" x14ac:dyDescent="0.2"/>
    <row r="1713" ht="15.75" customHeight="1" x14ac:dyDescent="0.2"/>
    <row r="1714" ht="15.75" customHeight="1" x14ac:dyDescent="0.2"/>
    <row r="1715" ht="15.75" customHeight="1" x14ac:dyDescent="0.2"/>
    <row r="1716" ht="15.75" customHeight="1" x14ac:dyDescent="0.2"/>
    <row r="1717" ht="15.75" customHeight="1" x14ac:dyDescent="0.2"/>
    <row r="1718" ht="15.75" customHeight="1" x14ac:dyDescent="0.2"/>
    <row r="1719" ht="15.75" customHeight="1" x14ac:dyDescent="0.2"/>
    <row r="1720" ht="15.75" customHeight="1" x14ac:dyDescent="0.2"/>
    <row r="1721" ht="15.75" customHeight="1" x14ac:dyDescent="0.2"/>
    <row r="1722" ht="15.75" customHeight="1" x14ac:dyDescent="0.2"/>
    <row r="1723" ht="15.75" customHeight="1" x14ac:dyDescent="0.2"/>
    <row r="1724" ht="15.75" customHeight="1" x14ac:dyDescent="0.2"/>
    <row r="1725" ht="15.75" customHeight="1" x14ac:dyDescent="0.2"/>
    <row r="1726" ht="15.75" customHeight="1" x14ac:dyDescent="0.2"/>
    <row r="1727" ht="15.75" customHeight="1" x14ac:dyDescent="0.2"/>
    <row r="1728" ht="15.75" customHeight="1" x14ac:dyDescent="0.2"/>
    <row r="1729" ht="15.75" customHeight="1" x14ac:dyDescent="0.2"/>
    <row r="1730" ht="15.75" customHeight="1" x14ac:dyDescent="0.2"/>
    <row r="1731" ht="15.75" customHeight="1" x14ac:dyDescent="0.2"/>
    <row r="1732" ht="15.75" customHeight="1" x14ac:dyDescent="0.2"/>
    <row r="1733" ht="15.75" customHeight="1" x14ac:dyDescent="0.2"/>
    <row r="1734" ht="15.75" customHeight="1" x14ac:dyDescent="0.2"/>
    <row r="1735" ht="15.75" customHeight="1" x14ac:dyDescent="0.2"/>
    <row r="1736" ht="15.75" customHeight="1" x14ac:dyDescent="0.2"/>
    <row r="1737" ht="15.75" customHeight="1" x14ac:dyDescent="0.2"/>
    <row r="1738" ht="15.75" customHeight="1" x14ac:dyDescent="0.2"/>
    <row r="1739" ht="15.75" customHeight="1" x14ac:dyDescent="0.2"/>
    <row r="1740" ht="15.75" customHeight="1" x14ac:dyDescent="0.2"/>
    <row r="1741" ht="15.75" customHeight="1" x14ac:dyDescent="0.2"/>
    <row r="1742" ht="15.75" customHeight="1" x14ac:dyDescent="0.2"/>
    <row r="1743" ht="15.75" customHeight="1" x14ac:dyDescent="0.2"/>
    <row r="1744" ht="15.75" customHeight="1" x14ac:dyDescent="0.2"/>
    <row r="1745" ht="15.75" customHeight="1" x14ac:dyDescent="0.2"/>
    <row r="1746" ht="15.75" customHeight="1" x14ac:dyDescent="0.2"/>
    <row r="1747" ht="15.75" customHeight="1" x14ac:dyDescent="0.2"/>
    <row r="1748" ht="15.75" customHeight="1" x14ac:dyDescent="0.2"/>
    <row r="1749" ht="15.75" customHeight="1" x14ac:dyDescent="0.2"/>
    <row r="1750" ht="15.75" customHeight="1" x14ac:dyDescent="0.2"/>
    <row r="1751" ht="15.75" customHeight="1" x14ac:dyDescent="0.2"/>
    <row r="1752" ht="15.75" customHeight="1" x14ac:dyDescent="0.2"/>
    <row r="1753" ht="15.75" customHeight="1" x14ac:dyDescent="0.2"/>
    <row r="1754" ht="15.75" customHeight="1" x14ac:dyDescent="0.2"/>
    <row r="1755" ht="15.75" customHeight="1" x14ac:dyDescent="0.2"/>
    <row r="1756" ht="15.75" customHeight="1" x14ac:dyDescent="0.2"/>
    <row r="1757" ht="15.75" customHeight="1" x14ac:dyDescent="0.2"/>
    <row r="1758" ht="15.75" customHeight="1" x14ac:dyDescent="0.2"/>
    <row r="1759" ht="15.75" customHeight="1" x14ac:dyDescent="0.2"/>
    <row r="1760" ht="15.75" customHeight="1" x14ac:dyDescent="0.2"/>
    <row r="1761" ht="15.75" customHeight="1" x14ac:dyDescent="0.2"/>
    <row r="1762" ht="15.75" customHeight="1" x14ac:dyDescent="0.2"/>
    <row r="1763" ht="15.75" customHeight="1" x14ac:dyDescent="0.2"/>
    <row r="1764" ht="15.75" customHeight="1" x14ac:dyDescent="0.2"/>
    <row r="1765" ht="15.75" customHeight="1" x14ac:dyDescent="0.2"/>
    <row r="1766" ht="15.75" customHeight="1" x14ac:dyDescent="0.2"/>
    <row r="1767" ht="15.75" customHeight="1" x14ac:dyDescent="0.2"/>
    <row r="1768" ht="15.75" customHeight="1" x14ac:dyDescent="0.2"/>
    <row r="1769" ht="15.75" customHeight="1" x14ac:dyDescent="0.2"/>
    <row r="1770" ht="15.75" customHeight="1" x14ac:dyDescent="0.2"/>
    <row r="1771" ht="15.75" customHeight="1" x14ac:dyDescent="0.2"/>
    <row r="1772" ht="15.75" customHeight="1" x14ac:dyDescent="0.2"/>
    <row r="1773" ht="15.75" customHeight="1" x14ac:dyDescent="0.2"/>
    <row r="1774" ht="15.75" customHeight="1" x14ac:dyDescent="0.2"/>
    <row r="1775" ht="15.75" customHeight="1" x14ac:dyDescent="0.2"/>
    <row r="1776" ht="15.75" customHeight="1" x14ac:dyDescent="0.2"/>
    <row r="1777" ht="15.75" customHeight="1" x14ac:dyDescent="0.2"/>
    <row r="1778" ht="15.75" customHeight="1" x14ac:dyDescent="0.2"/>
    <row r="1779" ht="15.75" customHeight="1" x14ac:dyDescent="0.2"/>
    <row r="1780" ht="15.75" customHeight="1" x14ac:dyDescent="0.2"/>
    <row r="1781" ht="15.75" customHeight="1" x14ac:dyDescent="0.2"/>
    <row r="1782" ht="15.75" customHeight="1" x14ac:dyDescent="0.2"/>
    <row r="1783" ht="15.75" customHeight="1" x14ac:dyDescent="0.2"/>
    <row r="1784" ht="15.75" customHeight="1" x14ac:dyDescent="0.2"/>
    <row r="1785" ht="15.75" customHeight="1" x14ac:dyDescent="0.2"/>
    <row r="1786" ht="15.75" customHeight="1" x14ac:dyDescent="0.2"/>
    <row r="1787" ht="15.75" customHeight="1" x14ac:dyDescent="0.2"/>
    <row r="1788" ht="15.75" customHeight="1" x14ac:dyDescent="0.2"/>
    <row r="1789" ht="15.75" customHeight="1" x14ac:dyDescent="0.2"/>
    <row r="1790" ht="15.75" customHeight="1" x14ac:dyDescent="0.2"/>
    <row r="1791" ht="15.75" customHeight="1" x14ac:dyDescent="0.2"/>
    <row r="1792" ht="15.75" customHeight="1" x14ac:dyDescent="0.2"/>
    <row r="1793" ht="15.75" customHeight="1" x14ac:dyDescent="0.2"/>
    <row r="1794" ht="15.75" customHeight="1" x14ac:dyDescent="0.2"/>
    <row r="1795" ht="15.75" customHeight="1" x14ac:dyDescent="0.2"/>
    <row r="1796" ht="15.75" customHeight="1" x14ac:dyDescent="0.2"/>
    <row r="1797" ht="15.75" customHeight="1" x14ac:dyDescent="0.2"/>
    <row r="1798" ht="15.75" customHeight="1" x14ac:dyDescent="0.2"/>
    <row r="1799" ht="15.75" customHeight="1" x14ac:dyDescent="0.2"/>
    <row r="1800" ht="15.75" customHeight="1" x14ac:dyDescent="0.2"/>
    <row r="1801" ht="15.75" customHeight="1" x14ac:dyDescent="0.2"/>
    <row r="1802" ht="15.75" customHeight="1" x14ac:dyDescent="0.2"/>
    <row r="1803" ht="15.75" customHeight="1" x14ac:dyDescent="0.2"/>
    <row r="1804" ht="15.75" customHeight="1" x14ac:dyDescent="0.2"/>
    <row r="1805" ht="15.75" customHeight="1" x14ac:dyDescent="0.2"/>
    <row r="1806" ht="15.75" customHeight="1" x14ac:dyDescent="0.2"/>
    <row r="1807" ht="15.75" customHeight="1" x14ac:dyDescent="0.2"/>
    <row r="1808" ht="15.75" customHeight="1" x14ac:dyDescent="0.2"/>
    <row r="1809" ht="15.75" customHeight="1" x14ac:dyDescent="0.2"/>
    <row r="1810" ht="15.75" customHeight="1" x14ac:dyDescent="0.2"/>
    <row r="1811" ht="15.75" customHeight="1" x14ac:dyDescent="0.2"/>
    <row r="1812" ht="15.75" customHeight="1" x14ac:dyDescent="0.2"/>
    <row r="1813" ht="15.75" customHeight="1" x14ac:dyDescent="0.2"/>
    <row r="1814" ht="15.75" customHeight="1" x14ac:dyDescent="0.2"/>
    <row r="1815" ht="15.75" customHeight="1" x14ac:dyDescent="0.2"/>
    <row r="1816" ht="15.75" customHeight="1" x14ac:dyDescent="0.2"/>
    <row r="1817" ht="15.75" customHeight="1" x14ac:dyDescent="0.2"/>
    <row r="1818" ht="15.75" customHeight="1" x14ac:dyDescent="0.2"/>
    <row r="1819" ht="15.75" customHeight="1" x14ac:dyDescent="0.2"/>
    <row r="1820" ht="15.75" customHeight="1" x14ac:dyDescent="0.2"/>
    <row r="1821" ht="15.75" customHeight="1" x14ac:dyDescent="0.2"/>
    <row r="1822" ht="15.75" customHeight="1" x14ac:dyDescent="0.2"/>
    <row r="1823" ht="15.75" customHeight="1" x14ac:dyDescent="0.2"/>
    <row r="1824" ht="15.75" customHeight="1" x14ac:dyDescent="0.2"/>
    <row r="1825" ht="15.75" customHeight="1" x14ac:dyDescent="0.2"/>
    <row r="1826" ht="15.75" customHeight="1" x14ac:dyDescent="0.2"/>
    <row r="1827" ht="15.75" customHeight="1" x14ac:dyDescent="0.2"/>
    <row r="1828" ht="15.75" customHeight="1" x14ac:dyDescent="0.2"/>
    <row r="1829" ht="15.75" customHeight="1" x14ac:dyDescent="0.2"/>
    <row r="1830" ht="15.75" customHeight="1" x14ac:dyDescent="0.2"/>
    <row r="1831" ht="15.75" customHeight="1" x14ac:dyDescent="0.2"/>
    <row r="1832" ht="15.75" customHeight="1" x14ac:dyDescent="0.2"/>
    <row r="1833" ht="15.75" customHeight="1" x14ac:dyDescent="0.2"/>
    <row r="1834" ht="15.75" customHeight="1" x14ac:dyDescent="0.2"/>
    <row r="1835" ht="15.75" customHeight="1" x14ac:dyDescent="0.2"/>
    <row r="1836" ht="15.75" customHeight="1" x14ac:dyDescent="0.2"/>
    <row r="1837" ht="15.75" customHeight="1" x14ac:dyDescent="0.2"/>
    <row r="1838" ht="15.75" customHeight="1" x14ac:dyDescent="0.2"/>
    <row r="1839" ht="15.75" customHeight="1" x14ac:dyDescent="0.2"/>
    <row r="1840" ht="15.75" customHeight="1" x14ac:dyDescent="0.2"/>
    <row r="1841" ht="15.75" customHeight="1" x14ac:dyDescent="0.2"/>
    <row r="1842" ht="15.75" customHeight="1" x14ac:dyDescent="0.2"/>
    <row r="1843" ht="15.75" customHeight="1" x14ac:dyDescent="0.2"/>
    <row r="1844" ht="15.75" customHeight="1" x14ac:dyDescent="0.2"/>
    <row r="1845" ht="15.75" customHeight="1" x14ac:dyDescent="0.2"/>
    <row r="1846" ht="15.75" customHeight="1" x14ac:dyDescent="0.2"/>
    <row r="1847" ht="15.75" customHeight="1" x14ac:dyDescent="0.2"/>
    <row r="1848" ht="15.75" customHeight="1" x14ac:dyDescent="0.2"/>
    <row r="1849" ht="15.75" customHeight="1" x14ac:dyDescent="0.2"/>
    <row r="1850" ht="15.75" customHeight="1" x14ac:dyDescent="0.2"/>
    <row r="1851" ht="15.75" customHeight="1" x14ac:dyDescent="0.2"/>
    <row r="1852" ht="15.75" customHeight="1" x14ac:dyDescent="0.2"/>
    <row r="1853" ht="15.75" customHeight="1" x14ac:dyDescent="0.2"/>
    <row r="1854" ht="15.75" customHeight="1" x14ac:dyDescent="0.2"/>
    <row r="1855" ht="15.75" customHeight="1" x14ac:dyDescent="0.2"/>
    <row r="1856" ht="15.75" customHeight="1" x14ac:dyDescent="0.2"/>
    <row r="1857" ht="15.75" customHeight="1" x14ac:dyDescent="0.2"/>
    <row r="1858" ht="15.75" customHeight="1" x14ac:dyDescent="0.2"/>
    <row r="1859" ht="15.75" customHeight="1" x14ac:dyDescent="0.2"/>
    <row r="1860" ht="15.75" customHeight="1" x14ac:dyDescent="0.2"/>
    <row r="1861" ht="15.75" customHeight="1" x14ac:dyDescent="0.2"/>
    <row r="1862" ht="15.75" customHeight="1" x14ac:dyDescent="0.2"/>
    <row r="1863" ht="15.75" customHeight="1" x14ac:dyDescent="0.2"/>
    <row r="1864" ht="15.75" customHeight="1" x14ac:dyDescent="0.2"/>
    <row r="1865" ht="15.75" customHeight="1" x14ac:dyDescent="0.2"/>
    <row r="1866" ht="15.75" customHeight="1" x14ac:dyDescent="0.2"/>
    <row r="1867" ht="15.75" customHeight="1" x14ac:dyDescent="0.2"/>
    <row r="1868" ht="15.75" customHeight="1" x14ac:dyDescent="0.2"/>
    <row r="1869" ht="15.75" customHeight="1" x14ac:dyDescent="0.2"/>
    <row r="1870" ht="15.75" customHeight="1" x14ac:dyDescent="0.2"/>
    <row r="1871" ht="15.75" customHeight="1" x14ac:dyDescent="0.2"/>
    <row r="1872" ht="15.75" customHeight="1" x14ac:dyDescent="0.2"/>
    <row r="1873" ht="15.75" customHeight="1" x14ac:dyDescent="0.2"/>
    <row r="1874" ht="15.75" customHeight="1" x14ac:dyDescent="0.2"/>
    <row r="1875" ht="15.75" customHeight="1" x14ac:dyDescent="0.2"/>
    <row r="1876" ht="15.75" customHeight="1" x14ac:dyDescent="0.2"/>
    <row r="1877" ht="15.75" customHeight="1" x14ac:dyDescent="0.2"/>
    <row r="1878" ht="15.75" customHeight="1" x14ac:dyDescent="0.2"/>
    <row r="1879" ht="15.75" customHeight="1" x14ac:dyDescent="0.2"/>
    <row r="1880" ht="15.75" customHeight="1" x14ac:dyDescent="0.2"/>
    <row r="1881" ht="15.75" customHeight="1" x14ac:dyDescent="0.2"/>
    <row r="1882" ht="15.75" customHeight="1" x14ac:dyDescent="0.2"/>
    <row r="1883" ht="15.75" customHeight="1" x14ac:dyDescent="0.2"/>
    <row r="1884" ht="15.75" customHeight="1" x14ac:dyDescent="0.2"/>
    <row r="1885" ht="15.75" customHeight="1" x14ac:dyDescent="0.2"/>
    <row r="1886" ht="15.75" customHeight="1" x14ac:dyDescent="0.2"/>
    <row r="1887" ht="15.75" customHeight="1" x14ac:dyDescent="0.2"/>
    <row r="1888" ht="15.75" customHeight="1" x14ac:dyDescent="0.2"/>
    <row r="1889" ht="15.75" customHeight="1" x14ac:dyDescent="0.2"/>
    <row r="1890" ht="15.75" customHeight="1" x14ac:dyDescent="0.2"/>
    <row r="1891" ht="15.75" customHeight="1" x14ac:dyDescent="0.2"/>
    <row r="1892" ht="15.75" customHeight="1" x14ac:dyDescent="0.2"/>
    <row r="1893" ht="15.75" customHeight="1" x14ac:dyDescent="0.2"/>
    <row r="1894" ht="15.75" customHeight="1" x14ac:dyDescent="0.2"/>
    <row r="1895" ht="15.75" customHeight="1" x14ac:dyDescent="0.2"/>
    <row r="1896" ht="15.75" customHeight="1" x14ac:dyDescent="0.2"/>
    <row r="1897" ht="15.75" customHeight="1" x14ac:dyDescent="0.2"/>
    <row r="1898" ht="15.75" customHeight="1" x14ac:dyDescent="0.2"/>
    <row r="1899" ht="15.75" customHeight="1" x14ac:dyDescent="0.2"/>
    <row r="1900" ht="15.75" customHeight="1" x14ac:dyDescent="0.2"/>
    <row r="1901" ht="15.75" customHeight="1" x14ac:dyDescent="0.2"/>
    <row r="1902" ht="15.75" customHeight="1" x14ac:dyDescent="0.2"/>
    <row r="1903" ht="15.75" customHeight="1" x14ac:dyDescent="0.2"/>
    <row r="1904" ht="15.75" customHeight="1" x14ac:dyDescent="0.2"/>
    <row r="1905" ht="15.75" customHeight="1" x14ac:dyDescent="0.2"/>
    <row r="1906" ht="15.75" customHeight="1" x14ac:dyDescent="0.2"/>
    <row r="1907" ht="15.75" customHeight="1" x14ac:dyDescent="0.2"/>
    <row r="1908" ht="15.75" customHeight="1" x14ac:dyDescent="0.2"/>
    <row r="1909" ht="15.75" customHeight="1" x14ac:dyDescent="0.2"/>
    <row r="1910" ht="15.75" customHeight="1" x14ac:dyDescent="0.2"/>
    <row r="1911" ht="15.75" customHeight="1" x14ac:dyDescent="0.2"/>
    <row r="1912" ht="15.75" customHeight="1" x14ac:dyDescent="0.2"/>
    <row r="1913" ht="15.75" customHeight="1" x14ac:dyDescent="0.2"/>
    <row r="1914" ht="15.75" customHeight="1" x14ac:dyDescent="0.2"/>
    <row r="1915" ht="15.75" customHeight="1" x14ac:dyDescent="0.2"/>
    <row r="1916" ht="15.75" customHeight="1" x14ac:dyDescent="0.2"/>
    <row r="1917" ht="15.75" customHeight="1" x14ac:dyDescent="0.2"/>
    <row r="1918" ht="15.75" customHeight="1" x14ac:dyDescent="0.2"/>
    <row r="1919" ht="15.75" customHeight="1" x14ac:dyDescent="0.2"/>
    <row r="1920" ht="15.75" customHeight="1" x14ac:dyDescent="0.2"/>
    <row r="1921" ht="15.75" customHeight="1" x14ac:dyDescent="0.2"/>
    <row r="1922" ht="15.75" customHeight="1" x14ac:dyDescent="0.2"/>
    <row r="1923" ht="15.75" customHeight="1" x14ac:dyDescent="0.2"/>
    <row r="1924" ht="15.75" customHeight="1" x14ac:dyDescent="0.2"/>
    <row r="1925" ht="15.75" customHeight="1" x14ac:dyDescent="0.2"/>
    <row r="1926" ht="15.75" customHeight="1" x14ac:dyDescent="0.2"/>
    <row r="1927" ht="15.75" customHeight="1" x14ac:dyDescent="0.2"/>
    <row r="1928" ht="15.75" customHeight="1" x14ac:dyDescent="0.2"/>
    <row r="1929" ht="15.75" customHeight="1" x14ac:dyDescent="0.2"/>
    <row r="1930" ht="15.75" customHeight="1" x14ac:dyDescent="0.2"/>
    <row r="1931" ht="15.75" customHeight="1" x14ac:dyDescent="0.2"/>
    <row r="1932" ht="15.75" customHeight="1" x14ac:dyDescent="0.2"/>
    <row r="1933" ht="15.75" customHeight="1" x14ac:dyDescent="0.2"/>
    <row r="1934" ht="15.75" customHeight="1" x14ac:dyDescent="0.2"/>
    <row r="1935" ht="15.75" customHeight="1" x14ac:dyDescent="0.2"/>
    <row r="1936" ht="15.75" customHeight="1" x14ac:dyDescent="0.2"/>
    <row r="1937" ht="15.75" customHeight="1" x14ac:dyDescent="0.2"/>
    <row r="1938" ht="15.75" customHeight="1" x14ac:dyDescent="0.2"/>
    <row r="1939" ht="15.75" customHeight="1" x14ac:dyDescent="0.2"/>
    <row r="1940" ht="15.75" customHeight="1" x14ac:dyDescent="0.2"/>
    <row r="1941" ht="15.75" customHeight="1" x14ac:dyDescent="0.2"/>
    <row r="1942" ht="15.75" customHeight="1" x14ac:dyDescent="0.2"/>
    <row r="1943" ht="15.75" customHeight="1" x14ac:dyDescent="0.2"/>
    <row r="1944" ht="15.75" customHeight="1" x14ac:dyDescent="0.2"/>
    <row r="1945" ht="15.75" customHeight="1" x14ac:dyDescent="0.2"/>
    <row r="1946" ht="15.75" customHeight="1" x14ac:dyDescent="0.2"/>
    <row r="1947" ht="15.75" customHeight="1" x14ac:dyDescent="0.2"/>
    <row r="1948" ht="15.75" customHeight="1" x14ac:dyDescent="0.2"/>
    <row r="1949" ht="15.75" customHeight="1" x14ac:dyDescent="0.2"/>
    <row r="1950" ht="15.75" customHeight="1" x14ac:dyDescent="0.2"/>
    <row r="1951" ht="15.75" customHeight="1" x14ac:dyDescent="0.2"/>
    <row r="1952" ht="15.75" customHeight="1" x14ac:dyDescent="0.2"/>
    <row r="1953" ht="15.75" customHeight="1" x14ac:dyDescent="0.2"/>
    <row r="1954" ht="15.75" customHeight="1" x14ac:dyDescent="0.2"/>
    <row r="1955" ht="15.75" customHeight="1" x14ac:dyDescent="0.2"/>
    <row r="1956" ht="15.75" customHeight="1" x14ac:dyDescent="0.2"/>
    <row r="1957" ht="15.75" customHeight="1" x14ac:dyDescent="0.2"/>
    <row r="1958" ht="15.75" customHeight="1" x14ac:dyDescent="0.2"/>
    <row r="1959" ht="15.75" customHeight="1" x14ac:dyDescent="0.2"/>
    <row r="1960" ht="15.75" customHeight="1" x14ac:dyDescent="0.2"/>
    <row r="1961" ht="15.75" customHeight="1" x14ac:dyDescent="0.2"/>
    <row r="1962" ht="15.75" customHeight="1" x14ac:dyDescent="0.2"/>
    <row r="1963" ht="15.75" customHeight="1" x14ac:dyDescent="0.2"/>
    <row r="1964" ht="15.75" customHeight="1" x14ac:dyDescent="0.2"/>
    <row r="1965" ht="15.75" customHeight="1" x14ac:dyDescent="0.2"/>
    <row r="1966" ht="15.75" customHeight="1" x14ac:dyDescent="0.2"/>
    <row r="1967" ht="15.75" customHeight="1" x14ac:dyDescent="0.2"/>
    <row r="1968" ht="15.75" customHeight="1" x14ac:dyDescent="0.2"/>
    <row r="1969" ht="15.75" customHeight="1" x14ac:dyDescent="0.2"/>
    <row r="1970" ht="15.75" customHeight="1" x14ac:dyDescent="0.2"/>
    <row r="1971" ht="15.75" customHeight="1" x14ac:dyDescent="0.2"/>
    <row r="1972" ht="15.75" customHeight="1" x14ac:dyDescent="0.2"/>
    <row r="1973" ht="15.75" customHeight="1" x14ac:dyDescent="0.2"/>
    <row r="1974" ht="15.75" customHeight="1" x14ac:dyDescent="0.2"/>
    <row r="1975" ht="15.75" customHeight="1" x14ac:dyDescent="0.2"/>
    <row r="1976" ht="15.75" customHeight="1" x14ac:dyDescent="0.2"/>
    <row r="1977" ht="15.75" customHeight="1" x14ac:dyDescent="0.2"/>
    <row r="1978" ht="15.75" customHeight="1" x14ac:dyDescent="0.2"/>
    <row r="1979" ht="15.75" customHeight="1" x14ac:dyDescent="0.2"/>
    <row r="1980" ht="15.75" customHeight="1" x14ac:dyDescent="0.2"/>
    <row r="1981" ht="15.75" customHeight="1" x14ac:dyDescent="0.2"/>
    <row r="1982" ht="15.75" customHeight="1" x14ac:dyDescent="0.2"/>
    <row r="1983" ht="15.75" customHeight="1" x14ac:dyDescent="0.2"/>
    <row r="1984" ht="15.75" customHeight="1" x14ac:dyDescent="0.2"/>
    <row r="1985" ht="15.75" customHeight="1" x14ac:dyDescent="0.2"/>
    <row r="1986" ht="15.75" customHeight="1" x14ac:dyDescent="0.2"/>
    <row r="1987" ht="15.75" customHeight="1" x14ac:dyDescent="0.2"/>
    <row r="1988" ht="15.75" customHeight="1" x14ac:dyDescent="0.2"/>
    <row r="1989" ht="15.75" customHeight="1" x14ac:dyDescent="0.2"/>
    <row r="1990" ht="15.75" customHeight="1" x14ac:dyDescent="0.2"/>
    <row r="1991" ht="15.75" customHeight="1" x14ac:dyDescent="0.2"/>
    <row r="1992" ht="15.75" customHeight="1" x14ac:dyDescent="0.2"/>
    <row r="1993" ht="15.75" customHeight="1" x14ac:dyDescent="0.2"/>
    <row r="1994" ht="15.75" customHeight="1" x14ac:dyDescent="0.2"/>
    <row r="1995" ht="15.75" customHeight="1" x14ac:dyDescent="0.2"/>
    <row r="1996" ht="15.75" customHeight="1" x14ac:dyDescent="0.2"/>
    <row r="1997" ht="15.75" customHeight="1" x14ac:dyDescent="0.2"/>
    <row r="1998" ht="15.75" customHeight="1" x14ac:dyDescent="0.2"/>
    <row r="1999" ht="15.75" customHeight="1" x14ac:dyDescent="0.2"/>
    <row r="2000" ht="15.75" customHeight="1" x14ac:dyDescent="0.2"/>
    <row r="2001" ht="15.75" customHeight="1" x14ac:dyDescent="0.2"/>
    <row r="2002" ht="15.75" customHeight="1" x14ac:dyDescent="0.2"/>
    <row r="2003" ht="15.75" customHeight="1" x14ac:dyDescent="0.2"/>
    <row r="2004" ht="15.75" customHeight="1" x14ac:dyDescent="0.2"/>
    <row r="2005" ht="15.75" customHeight="1" x14ac:dyDescent="0.2"/>
    <row r="2006" ht="15.75" customHeight="1" x14ac:dyDescent="0.2"/>
    <row r="2007" ht="15.75" customHeight="1" x14ac:dyDescent="0.2"/>
    <row r="2008" ht="15.75" customHeight="1" x14ac:dyDescent="0.2"/>
    <row r="2009" ht="15.75" customHeight="1" x14ac:dyDescent="0.2"/>
    <row r="2010" ht="15.75" customHeight="1" x14ac:dyDescent="0.2"/>
    <row r="2011" ht="15.75" customHeight="1" x14ac:dyDescent="0.2"/>
    <row r="2012" ht="15.75" customHeight="1" x14ac:dyDescent="0.2"/>
    <row r="2013" ht="15.75" customHeight="1" x14ac:dyDescent="0.2"/>
    <row r="2014" ht="15.75" customHeight="1" x14ac:dyDescent="0.2"/>
    <row r="2015" ht="15.75" customHeight="1" x14ac:dyDescent="0.2"/>
    <row r="2016" ht="15.75" customHeight="1" x14ac:dyDescent="0.2"/>
    <row r="2017" ht="15.75" customHeight="1" x14ac:dyDescent="0.2"/>
    <row r="2018" ht="15.75" customHeight="1" x14ac:dyDescent="0.2"/>
    <row r="2019" ht="15.75" customHeight="1" x14ac:dyDescent="0.2"/>
    <row r="2020" ht="15.75" customHeight="1" x14ac:dyDescent="0.2"/>
    <row r="2021" ht="15.75" customHeight="1" x14ac:dyDescent="0.2"/>
    <row r="2022" ht="15.75" customHeight="1" x14ac:dyDescent="0.2"/>
    <row r="2023" ht="15.75" customHeight="1" x14ac:dyDescent="0.2"/>
    <row r="2024" ht="15.75" customHeight="1" x14ac:dyDescent="0.2"/>
    <row r="2025" ht="15.75" customHeight="1" x14ac:dyDescent="0.2"/>
    <row r="2026" ht="15.75" customHeight="1" x14ac:dyDescent="0.2"/>
    <row r="2027" ht="15.75" customHeight="1" x14ac:dyDescent="0.2"/>
    <row r="2028" ht="15.75" customHeight="1" x14ac:dyDescent="0.2"/>
    <row r="2029" ht="15.75" customHeight="1" x14ac:dyDescent="0.2"/>
    <row r="2030" ht="15.75" customHeight="1" x14ac:dyDescent="0.2"/>
    <row r="2031" ht="15.75" customHeight="1" x14ac:dyDescent="0.2"/>
    <row r="2032" ht="15.75" customHeight="1" x14ac:dyDescent="0.2"/>
    <row r="2033" ht="15.75" customHeight="1" x14ac:dyDescent="0.2"/>
    <row r="2034" ht="15.75" customHeight="1" x14ac:dyDescent="0.2"/>
    <row r="2035" ht="15.75" customHeight="1" x14ac:dyDescent="0.2"/>
    <row r="2036" ht="15.75" customHeight="1" x14ac:dyDescent="0.2"/>
    <row r="2037" ht="15.75" customHeight="1" x14ac:dyDescent="0.2"/>
    <row r="2038" ht="15.75" customHeight="1" x14ac:dyDescent="0.2"/>
    <row r="2039" ht="15.75" customHeight="1" x14ac:dyDescent="0.2"/>
    <row r="2040" ht="15.75" customHeight="1" x14ac:dyDescent="0.2"/>
    <row r="2041" ht="15.75" customHeight="1" x14ac:dyDescent="0.2"/>
    <row r="2042" ht="15.75" customHeight="1" x14ac:dyDescent="0.2"/>
    <row r="2043" ht="15.75" customHeight="1" x14ac:dyDescent="0.2"/>
    <row r="2044" ht="15.75" customHeight="1" x14ac:dyDescent="0.2"/>
    <row r="2045" ht="15.75" customHeight="1" x14ac:dyDescent="0.2"/>
    <row r="2046" ht="15.75" customHeight="1" x14ac:dyDescent="0.2"/>
    <row r="2047" ht="15.75" customHeight="1" x14ac:dyDescent="0.2"/>
    <row r="2048" ht="15.75" customHeight="1" x14ac:dyDescent="0.2"/>
    <row r="2049" ht="15.75" customHeight="1" x14ac:dyDescent="0.2"/>
    <row r="2050" ht="15.75" customHeight="1" x14ac:dyDescent="0.2"/>
    <row r="2051" ht="15.75" customHeight="1" x14ac:dyDescent="0.2"/>
    <row r="2052" ht="15.75" customHeight="1" x14ac:dyDescent="0.2"/>
    <row r="2053" ht="15.75" customHeight="1" x14ac:dyDescent="0.2"/>
    <row r="2054" ht="15.75" customHeight="1" x14ac:dyDescent="0.2"/>
    <row r="2055" ht="15.75" customHeight="1" x14ac:dyDescent="0.2"/>
    <row r="2056" ht="15.75" customHeight="1" x14ac:dyDescent="0.2"/>
    <row r="2057" ht="15.75" customHeight="1" x14ac:dyDescent="0.2"/>
    <row r="2058" ht="15.75" customHeight="1" x14ac:dyDescent="0.2"/>
    <row r="2059" ht="15.75" customHeight="1" x14ac:dyDescent="0.2"/>
    <row r="2060" ht="15.75" customHeight="1" x14ac:dyDescent="0.2"/>
    <row r="2061" ht="15.75" customHeight="1" x14ac:dyDescent="0.2"/>
    <row r="2062" ht="15.75" customHeight="1" x14ac:dyDescent="0.2"/>
    <row r="2063" ht="15.75" customHeight="1" x14ac:dyDescent="0.2"/>
    <row r="2064" ht="15.75" customHeight="1" x14ac:dyDescent="0.2"/>
    <row r="2065" ht="15.75" customHeight="1" x14ac:dyDescent="0.2"/>
    <row r="2066" ht="15.75" customHeight="1" x14ac:dyDescent="0.2"/>
    <row r="2067" ht="15.75" customHeight="1" x14ac:dyDescent="0.2"/>
    <row r="2068" ht="15.75" customHeight="1" x14ac:dyDescent="0.2"/>
    <row r="2069" ht="15.75" customHeight="1" x14ac:dyDescent="0.2"/>
    <row r="2070" ht="15.75" customHeight="1" x14ac:dyDescent="0.2"/>
    <row r="2071" ht="15.75" customHeight="1" x14ac:dyDescent="0.2"/>
    <row r="2072" ht="15.75" customHeight="1" x14ac:dyDescent="0.2"/>
    <row r="2073" ht="15.75" customHeight="1" x14ac:dyDescent="0.2"/>
    <row r="2074" ht="15.75" customHeight="1" x14ac:dyDescent="0.2"/>
    <row r="2075" ht="15.75" customHeight="1" x14ac:dyDescent="0.2"/>
    <row r="2076" ht="15.75" customHeight="1" x14ac:dyDescent="0.2"/>
    <row r="2077" ht="15.75" customHeight="1" x14ac:dyDescent="0.2"/>
    <row r="2078" ht="15.75" customHeight="1" x14ac:dyDescent="0.2"/>
    <row r="2079" ht="15.75" customHeight="1" x14ac:dyDescent="0.2"/>
    <row r="2080" ht="15.75" customHeight="1" x14ac:dyDescent="0.2"/>
    <row r="2081" ht="15.75" customHeight="1" x14ac:dyDescent="0.2"/>
    <row r="2082" ht="15.75" customHeight="1" x14ac:dyDescent="0.2"/>
    <row r="2083" ht="15.75" customHeight="1" x14ac:dyDescent="0.2"/>
    <row r="2084" ht="15.75" customHeight="1" x14ac:dyDescent="0.2"/>
    <row r="2085" ht="15.75" customHeight="1" x14ac:dyDescent="0.2"/>
    <row r="2086" ht="15.75" customHeight="1" x14ac:dyDescent="0.2"/>
    <row r="2087" ht="15.75" customHeight="1" x14ac:dyDescent="0.2"/>
    <row r="2088" ht="15.75" customHeight="1" x14ac:dyDescent="0.2"/>
    <row r="2089" ht="15.75" customHeight="1" x14ac:dyDescent="0.2"/>
    <row r="2090" ht="15.75" customHeight="1" x14ac:dyDescent="0.2"/>
    <row r="2091" ht="15.75" customHeight="1" x14ac:dyDescent="0.2"/>
    <row r="2092" ht="15.75" customHeight="1" x14ac:dyDescent="0.2"/>
    <row r="2093" ht="15.75" customHeight="1" x14ac:dyDescent="0.2"/>
    <row r="2094" ht="15.75" customHeight="1" x14ac:dyDescent="0.2"/>
    <row r="2095" ht="15.75" customHeight="1" x14ac:dyDescent="0.2"/>
    <row r="2096" ht="15.75" customHeight="1" x14ac:dyDescent="0.2"/>
    <row r="2097" ht="15.75" customHeight="1" x14ac:dyDescent="0.2"/>
    <row r="2098" ht="15.75" customHeight="1" x14ac:dyDescent="0.2"/>
    <row r="2099" ht="15.75" customHeight="1" x14ac:dyDescent="0.2"/>
    <row r="2100" ht="15.75" customHeight="1" x14ac:dyDescent="0.2"/>
    <row r="2101" ht="15.75" customHeight="1" x14ac:dyDescent="0.2"/>
    <row r="2102" ht="15.75" customHeight="1" x14ac:dyDescent="0.2"/>
    <row r="2103" ht="15.75" customHeight="1" x14ac:dyDescent="0.2"/>
    <row r="2104" ht="15.75" customHeight="1" x14ac:dyDescent="0.2"/>
    <row r="2105" ht="15.75" customHeight="1" x14ac:dyDescent="0.2"/>
    <row r="2106" ht="15.75" customHeight="1" x14ac:dyDescent="0.2"/>
    <row r="2107" ht="15.75" customHeight="1" x14ac:dyDescent="0.2"/>
    <row r="2108" ht="15.75" customHeight="1" x14ac:dyDescent="0.2"/>
    <row r="2109" ht="15.75" customHeight="1" x14ac:dyDescent="0.2"/>
    <row r="2110" ht="15.75" customHeight="1" x14ac:dyDescent="0.2"/>
    <row r="2111" ht="15.75" customHeight="1" x14ac:dyDescent="0.2"/>
    <row r="2112" ht="15.75" customHeight="1" x14ac:dyDescent="0.2"/>
    <row r="2113" ht="15.75" customHeight="1" x14ac:dyDescent="0.2"/>
    <row r="2114" ht="15.75" customHeight="1" x14ac:dyDescent="0.2"/>
    <row r="2115" ht="15.75" customHeight="1" x14ac:dyDescent="0.2"/>
    <row r="2116" ht="15.75" customHeight="1" x14ac:dyDescent="0.2"/>
    <row r="2117" ht="15.75" customHeight="1" x14ac:dyDescent="0.2"/>
    <row r="2118" ht="15.75" customHeight="1" x14ac:dyDescent="0.2"/>
    <row r="2119" ht="15.75" customHeight="1" x14ac:dyDescent="0.2"/>
    <row r="2120" ht="15.75" customHeight="1" x14ac:dyDescent="0.2"/>
    <row r="2121" ht="15.75" customHeight="1" x14ac:dyDescent="0.2"/>
    <row r="2122" ht="15.75" customHeight="1" x14ac:dyDescent="0.2"/>
    <row r="2123" ht="15.75" customHeight="1" x14ac:dyDescent="0.2"/>
    <row r="2124" ht="15.75" customHeight="1" x14ac:dyDescent="0.2"/>
    <row r="2125" ht="15.75" customHeight="1" x14ac:dyDescent="0.2"/>
    <row r="2126" ht="15.75" customHeight="1" x14ac:dyDescent="0.2"/>
    <row r="2127" ht="15.75" customHeight="1" x14ac:dyDescent="0.2"/>
    <row r="2128" ht="15.75" customHeight="1" x14ac:dyDescent="0.2"/>
    <row r="2129" ht="15.75" customHeight="1" x14ac:dyDescent="0.2"/>
    <row r="2130" ht="15.75" customHeight="1" x14ac:dyDescent="0.2"/>
    <row r="2131" ht="15.75" customHeight="1" x14ac:dyDescent="0.2"/>
    <row r="2132" ht="15.75" customHeight="1" x14ac:dyDescent="0.2"/>
    <row r="2133" ht="15.75" customHeight="1" x14ac:dyDescent="0.2"/>
    <row r="2134" ht="15.75" customHeight="1" x14ac:dyDescent="0.2"/>
    <row r="2135" ht="15.75" customHeight="1" x14ac:dyDescent="0.2"/>
    <row r="2136" ht="15.75" customHeight="1" x14ac:dyDescent="0.2"/>
    <row r="2137" ht="15.75" customHeight="1" x14ac:dyDescent="0.2"/>
    <row r="2138" ht="15.75" customHeight="1" x14ac:dyDescent="0.2"/>
    <row r="2139" ht="15.75" customHeight="1" x14ac:dyDescent="0.2"/>
    <row r="2140" ht="15.75" customHeight="1" x14ac:dyDescent="0.2"/>
    <row r="2141" ht="15.75" customHeight="1" x14ac:dyDescent="0.2"/>
    <row r="2142" ht="15.75" customHeight="1" x14ac:dyDescent="0.2"/>
    <row r="2143" ht="15.75" customHeight="1" x14ac:dyDescent="0.2"/>
    <row r="2144" ht="15.75" customHeight="1" x14ac:dyDescent="0.2"/>
    <row r="2145" ht="15.75" customHeight="1" x14ac:dyDescent="0.2"/>
    <row r="2146" ht="15.75" customHeight="1" x14ac:dyDescent="0.2"/>
    <row r="2147" ht="15.75" customHeight="1" x14ac:dyDescent="0.2"/>
    <row r="2148" ht="15.75" customHeight="1" x14ac:dyDescent="0.2"/>
    <row r="2149" ht="15.75" customHeight="1" x14ac:dyDescent="0.2"/>
    <row r="2150" ht="15.75" customHeight="1" x14ac:dyDescent="0.2"/>
    <row r="2151" ht="15.75" customHeight="1" x14ac:dyDescent="0.2"/>
    <row r="2152" ht="15.75" customHeight="1" x14ac:dyDescent="0.2"/>
    <row r="2153" ht="15.75" customHeight="1" x14ac:dyDescent="0.2"/>
    <row r="2154" ht="15.75" customHeight="1" x14ac:dyDescent="0.2"/>
    <row r="2155" ht="15.75" customHeight="1" x14ac:dyDescent="0.2"/>
    <row r="2156" ht="15.75" customHeight="1" x14ac:dyDescent="0.2"/>
    <row r="2157" ht="15.75" customHeight="1" x14ac:dyDescent="0.2"/>
    <row r="2158" ht="15.75" customHeight="1" x14ac:dyDescent="0.2"/>
    <row r="2159" ht="15.75" customHeight="1" x14ac:dyDescent="0.2"/>
    <row r="2160" ht="15.75" customHeight="1" x14ac:dyDescent="0.2"/>
    <row r="2161" ht="15.75" customHeight="1" x14ac:dyDescent="0.2"/>
    <row r="2162" ht="15.75" customHeight="1" x14ac:dyDescent="0.2"/>
    <row r="2163" ht="15.75" customHeight="1" x14ac:dyDescent="0.2"/>
    <row r="2164" ht="15.75" customHeight="1" x14ac:dyDescent="0.2"/>
    <row r="2165" ht="15.75" customHeight="1" x14ac:dyDescent="0.2"/>
    <row r="2166" ht="15.75" customHeight="1" x14ac:dyDescent="0.2"/>
    <row r="2167" ht="15.75" customHeight="1" x14ac:dyDescent="0.2"/>
    <row r="2168" ht="15.75" customHeight="1" x14ac:dyDescent="0.2"/>
    <row r="2169" ht="15.75" customHeight="1" x14ac:dyDescent="0.2"/>
    <row r="2170" ht="15.75" customHeight="1" x14ac:dyDescent="0.2"/>
    <row r="2171" ht="15.75" customHeight="1" x14ac:dyDescent="0.2"/>
    <row r="2172" ht="15.75" customHeight="1" x14ac:dyDescent="0.2"/>
    <row r="2173" ht="15.75" customHeight="1" x14ac:dyDescent="0.2"/>
    <row r="2174" ht="15.75" customHeight="1" x14ac:dyDescent="0.2"/>
    <row r="2175" ht="15.75" customHeight="1" x14ac:dyDescent="0.2"/>
    <row r="2176" ht="15.75" customHeight="1" x14ac:dyDescent="0.2"/>
    <row r="2177" ht="15.75" customHeight="1" x14ac:dyDescent="0.2"/>
    <row r="2178" ht="15.75" customHeight="1" x14ac:dyDescent="0.2"/>
    <row r="2179" ht="15.75" customHeight="1" x14ac:dyDescent="0.2"/>
    <row r="2180" ht="15.75" customHeight="1" x14ac:dyDescent="0.2"/>
    <row r="2181" ht="15.75" customHeight="1" x14ac:dyDescent="0.2"/>
    <row r="2182" ht="15.75" customHeight="1" x14ac:dyDescent="0.2"/>
    <row r="2183" ht="15.75" customHeight="1" x14ac:dyDescent="0.2"/>
    <row r="2184" ht="15.75" customHeight="1" x14ac:dyDescent="0.2"/>
    <row r="2185" ht="15.75" customHeight="1" x14ac:dyDescent="0.2"/>
    <row r="2186" ht="15.75" customHeight="1" x14ac:dyDescent="0.2"/>
    <row r="2187" ht="15.75" customHeight="1" x14ac:dyDescent="0.2"/>
    <row r="2188" ht="15.75" customHeight="1" x14ac:dyDescent="0.2"/>
    <row r="2189" ht="15.75" customHeight="1" x14ac:dyDescent="0.2"/>
    <row r="2190" ht="15.75" customHeight="1" x14ac:dyDescent="0.2"/>
    <row r="2191" ht="15.75" customHeight="1" x14ac:dyDescent="0.2"/>
    <row r="2192" ht="15.75" customHeight="1" x14ac:dyDescent="0.2"/>
    <row r="2193" ht="15.75" customHeight="1" x14ac:dyDescent="0.2"/>
    <row r="2194" ht="15.75" customHeight="1" x14ac:dyDescent="0.2"/>
    <row r="2195" ht="15.75" customHeight="1" x14ac:dyDescent="0.2"/>
    <row r="2196" ht="15.75" customHeight="1" x14ac:dyDescent="0.2"/>
    <row r="2197" ht="15.75" customHeight="1" x14ac:dyDescent="0.2"/>
    <row r="2198" ht="15.75" customHeight="1" x14ac:dyDescent="0.2"/>
    <row r="2199" ht="15.75" customHeight="1" x14ac:dyDescent="0.2"/>
    <row r="2200" ht="15.75" customHeight="1" x14ac:dyDescent="0.2"/>
    <row r="2201" ht="15.75" customHeight="1" x14ac:dyDescent="0.2"/>
    <row r="2202" ht="15.75" customHeight="1" x14ac:dyDescent="0.2"/>
    <row r="2203" ht="15.75" customHeight="1" x14ac:dyDescent="0.2"/>
    <row r="2204" ht="15.75" customHeight="1" x14ac:dyDescent="0.2"/>
    <row r="2205" ht="15.75" customHeight="1" x14ac:dyDescent="0.2"/>
    <row r="2206" ht="15.75" customHeight="1" x14ac:dyDescent="0.2"/>
    <row r="2207" ht="15.75" customHeight="1" x14ac:dyDescent="0.2"/>
    <row r="2208" ht="15.75" customHeight="1" x14ac:dyDescent="0.2"/>
    <row r="2209" ht="15.75" customHeight="1" x14ac:dyDescent="0.2"/>
    <row r="2210" ht="15.75" customHeight="1" x14ac:dyDescent="0.2"/>
    <row r="2211" ht="15.75" customHeight="1" x14ac:dyDescent="0.2"/>
    <row r="2212" ht="15.75" customHeight="1" x14ac:dyDescent="0.2"/>
    <row r="2213" ht="15.75" customHeight="1" x14ac:dyDescent="0.2"/>
    <row r="2214" ht="15.75" customHeight="1" x14ac:dyDescent="0.2"/>
    <row r="2215" ht="15.75" customHeight="1" x14ac:dyDescent="0.2"/>
    <row r="2216" ht="15.75" customHeight="1" x14ac:dyDescent="0.2"/>
    <row r="2217" ht="15.75" customHeight="1" x14ac:dyDescent="0.2"/>
    <row r="2218" ht="15.75" customHeight="1" x14ac:dyDescent="0.2"/>
    <row r="2219" ht="15.75" customHeight="1" x14ac:dyDescent="0.2"/>
    <row r="2220" ht="15.75" customHeight="1" x14ac:dyDescent="0.2"/>
    <row r="2221" ht="15.75" customHeight="1" x14ac:dyDescent="0.2"/>
    <row r="2222" ht="15.75" customHeight="1" x14ac:dyDescent="0.2"/>
    <row r="2223" ht="15.75" customHeight="1" x14ac:dyDescent="0.2"/>
    <row r="2224" ht="15.75" customHeight="1" x14ac:dyDescent="0.2"/>
    <row r="2225" ht="15.75" customHeight="1" x14ac:dyDescent="0.2"/>
    <row r="2226" ht="15.75" customHeight="1" x14ac:dyDescent="0.2"/>
    <row r="2227" ht="15.75" customHeight="1" x14ac:dyDescent="0.2"/>
    <row r="2228" ht="15.75" customHeight="1" x14ac:dyDescent="0.2"/>
    <row r="2229" ht="15.75" customHeight="1" x14ac:dyDescent="0.2"/>
    <row r="2230" ht="15.75" customHeight="1" x14ac:dyDescent="0.2"/>
    <row r="2231" ht="15.75" customHeight="1" x14ac:dyDescent="0.2"/>
    <row r="2232" ht="15.75" customHeight="1" x14ac:dyDescent="0.2"/>
    <row r="2233" ht="15.75" customHeight="1" x14ac:dyDescent="0.2"/>
    <row r="2234" ht="15.75" customHeight="1" x14ac:dyDescent="0.2"/>
    <row r="2235" ht="15.75" customHeight="1" x14ac:dyDescent="0.2"/>
    <row r="2236" ht="15.75" customHeight="1" x14ac:dyDescent="0.2"/>
    <row r="2237" ht="15.75" customHeight="1" x14ac:dyDescent="0.2"/>
    <row r="2238" ht="15.75" customHeight="1" x14ac:dyDescent="0.2"/>
    <row r="2239" ht="15.75" customHeight="1" x14ac:dyDescent="0.2"/>
    <row r="2240" ht="15.75" customHeight="1" x14ac:dyDescent="0.2"/>
    <row r="2241" ht="15.75" customHeight="1" x14ac:dyDescent="0.2"/>
    <row r="2242" ht="15.75" customHeight="1" x14ac:dyDescent="0.2"/>
    <row r="2243" ht="15.75" customHeight="1" x14ac:dyDescent="0.2"/>
    <row r="2244" ht="15.75" customHeight="1" x14ac:dyDescent="0.2"/>
    <row r="2245" ht="15.75" customHeight="1" x14ac:dyDescent="0.2"/>
    <row r="2246" ht="15.75" customHeight="1" x14ac:dyDescent="0.2"/>
    <row r="2247" ht="15.75" customHeight="1" x14ac:dyDescent="0.2"/>
    <row r="2248" ht="15.75" customHeight="1" x14ac:dyDescent="0.2"/>
    <row r="2249" ht="15.75" customHeight="1" x14ac:dyDescent="0.2"/>
    <row r="2250" ht="15.75" customHeight="1" x14ac:dyDescent="0.2"/>
    <row r="2251" ht="15.75" customHeight="1" x14ac:dyDescent="0.2"/>
    <row r="2252" ht="15.75" customHeight="1" x14ac:dyDescent="0.2"/>
    <row r="2253" ht="15.75" customHeight="1" x14ac:dyDescent="0.2"/>
    <row r="2254" ht="15.75" customHeight="1" x14ac:dyDescent="0.2"/>
    <row r="2255" ht="15.75" customHeight="1" x14ac:dyDescent="0.2"/>
    <row r="2256" ht="15.75" customHeight="1" x14ac:dyDescent="0.2"/>
    <row r="2257" ht="15.75" customHeight="1" x14ac:dyDescent="0.2"/>
    <row r="2258" ht="15.75" customHeight="1" x14ac:dyDescent="0.2"/>
    <row r="2259" ht="15.75" customHeight="1" x14ac:dyDescent="0.2"/>
    <row r="2260" ht="15.75" customHeight="1" x14ac:dyDescent="0.2"/>
    <row r="2261" ht="15.75" customHeight="1" x14ac:dyDescent="0.2"/>
    <row r="2262" ht="15.75" customHeight="1" x14ac:dyDescent="0.2"/>
    <row r="2263" ht="15.75" customHeight="1" x14ac:dyDescent="0.2"/>
    <row r="2264" ht="15.75" customHeight="1" x14ac:dyDescent="0.2"/>
    <row r="2265" ht="15.75" customHeight="1" x14ac:dyDescent="0.2"/>
    <row r="2266" ht="15.75" customHeight="1" x14ac:dyDescent="0.2"/>
    <row r="2267" ht="15.75" customHeight="1" x14ac:dyDescent="0.2"/>
    <row r="2268" ht="15.75" customHeight="1" x14ac:dyDescent="0.2"/>
    <row r="2269" ht="15.75" customHeight="1" x14ac:dyDescent="0.2"/>
    <row r="2270" ht="15.75" customHeight="1" x14ac:dyDescent="0.2"/>
    <row r="2271" ht="15.75" customHeight="1" x14ac:dyDescent="0.2"/>
    <row r="2272" ht="15.75" customHeight="1" x14ac:dyDescent="0.2"/>
    <row r="2273" ht="15.75" customHeight="1" x14ac:dyDescent="0.2"/>
    <row r="2274" ht="15.75" customHeight="1" x14ac:dyDescent="0.2"/>
    <row r="2275" ht="15.75" customHeight="1" x14ac:dyDescent="0.2"/>
    <row r="2276" ht="15.75" customHeight="1" x14ac:dyDescent="0.2"/>
    <row r="2277" ht="15.75" customHeight="1" x14ac:dyDescent="0.2"/>
    <row r="2278" ht="15.75" customHeight="1" x14ac:dyDescent="0.2"/>
    <row r="2279" ht="15.75" customHeight="1" x14ac:dyDescent="0.2"/>
    <row r="2280" ht="15.75" customHeight="1" x14ac:dyDescent="0.2"/>
    <row r="2281" ht="15.75" customHeight="1" x14ac:dyDescent="0.2"/>
    <row r="2282" ht="15.75" customHeight="1" x14ac:dyDescent="0.2"/>
    <row r="2283" ht="15.75" customHeight="1" x14ac:dyDescent="0.2"/>
    <row r="2284" ht="15.75" customHeight="1" x14ac:dyDescent="0.2"/>
    <row r="2285" ht="15.75" customHeight="1" x14ac:dyDescent="0.2"/>
    <row r="2286" ht="15.75" customHeight="1" x14ac:dyDescent="0.2"/>
    <row r="2287" ht="15.75" customHeight="1" x14ac:dyDescent="0.2"/>
    <row r="2288" ht="15.75" customHeight="1" x14ac:dyDescent="0.2"/>
    <row r="2289" ht="15.75" customHeight="1" x14ac:dyDescent="0.2"/>
    <row r="2290" ht="15.75" customHeight="1" x14ac:dyDescent="0.2"/>
    <row r="2291" ht="15.75" customHeight="1" x14ac:dyDescent="0.2"/>
    <row r="2292" ht="15.75" customHeight="1" x14ac:dyDescent="0.2"/>
    <row r="2293" ht="15.75" customHeight="1" x14ac:dyDescent="0.2"/>
    <row r="2294" ht="15.75" customHeight="1" x14ac:dyDescent="0.2"/>
    <row r="2295" ht="15.75" customHeight="1" x14ac:dyDescent="0.2"/>
    <row r="2296" ht="15.75" customHeight="1" x14ac:dyDescent="0.2"/>
    <row r="2297" ht="15.75" customHeight="1" x14ac:dyDescent="0.2"/>
    <row r="2298" ht="15.75" customHeight="1" x14ac:dyDescent="0.2"/>
    <row r="2299" ht="15.75" customHeight="1" x14ac:dyDescent="0.2"/>
    <row r="2300" ht="15.75" customHeight="1" x14ac:dyDescent="0.2"/>
    <row r="2301" ht="15.75" customHeight="1" x14ac:dyDescent="0.2"/>
    <row r="2302" ht="15.75" customHeight="1" x14ac:dyDescent="0.2"/>
    <row r="2303" ht="15.75" customHeight="1" x14ac:dyDescent="0.2"/>
    <row r="2304" ht="15.75" customHeight="1" x14ac:dyDescent="0.2"/>
    <row r="2305" ht="15.75" customHeight="1" x14ac:dyDescent="0.2"/>
    <row r="2306" ht="15.75" customHeight="1" x14ac:dyDescent="0.2"/>
    <row r="2307" ht="15.75" customHeight="1" x14ac:dyDescent="0.2"/>
    <row r="2308" ht="15.75" customHeight="1" x14ac:dyDescent="0.2"/>
    <row r="2309" ht="15.75" customHeight="1" x14ac:dyDescent="0.2"/>
    <row r="2310" ht="15.75" customHeight="1" x14ac:dyDescent="0.2"/>
    <row r="2311" ht="15.75" customHeight="1" x14ac:dyDescent="0.2"/>
    <row r="2312" ht="15.75" customHeight="1" x14ac:dyDescent="0.2"/>
    <row r="2313" ht="15.75" customHeight="1" x14ac:dyDescent="0.2"/>
    <row r="2314" ht="15.75" customHeight="1" x14ac:dyDescent="0.2"/>
    <row r="2315" ht="15.75" customHeight="1" x14ac:dyDescent="0.2"/>
    <row r="2316" ht="15.75" customHeight="1" x14ac:dyDescent="0.2"/>
    <row r="2317" ht="15.75" customHeight="1" x14ac:dyDescent="0.2"/>
    <row r="2318" ht="15.75" customHeight="1" x14ac:dyDescent="0.2"/>
    <row r="2319" ht="15.75" customHeight="1" x14ac:dyDescent="0.2"/>
    <row r="2320" ht="15.75" customHeight="1" x14ac:dyDescent="0.2"/>
    <row r="2321" ht="15.75" customHeight="1" x14ac:dyDescent="0.2"/>
    <row r="2322" ht="15.75" customHeight="1" x14ac:dyDescent="0.2"/>
    <row r="2323" ht="15.75" customHeight="1" x14ac:dyDescent="0.2"/>
    <row r="2324" ht="15.75" customHeight="1" x14ac:dyDescent="0.2"/>
    <row r="2325" ht="15.75" customHeight="1" x14ac:dyDescent="0.2"/>
    <row r="2326" ht="15.75" customHeight="1" x14ac:dyDescent="0.2"/>
    <row r="2327" ht="15.75" customHeight="1" x14ac:dyDescent="0.2"/>
    <row r="2328" ht="15.75" customHeight="1" x14ac:dyDescent="0.2"/>
    <row r="2329" ht="15.75" customHeight="1" x14ac:dyDescent="0.2"/>
    <row r="2330" ht="15.75" customHeight="1" x14ac:dyDescent="0.2"/>
    <row r="2331" ht="15.75" customHeight="1" x14ac:dyDescent="0.2"/>
    <row r="2332" ht="15.75" customHeight="1" x14ac:dyDescent="0.2"/>
    <row r="2333" ht="15.75" customHeight="1" x14ac:dyDescent="0.2"/>
    <row r="2334" ht="15.75" customHeight="1" x14ac:dyDescent="0.2"/>
    <row r="2335" ht="15.75" customHeight="1" x14ac:dyDescent="0.2"/>
    <row r="2336" ht="15.75" customHeight="1" x14ac:dyDescent="0.2"/>
    <row r="2337" ht="15.75" customHeight="1" x14ac:dyDescent="0.2"/>
    <row r="2338" ht="15.75" customHeight="1" x14ac:dyDescent="0.2"/>
    <row r="2339" ht="15.75" customHeight="1" x14ac:dyDescent="0.2"/>
    <row r="2340" ht="15.75" customHeight="1" x14ac:dyDescent="0.2"/>
    <row r="2341" ht="15.75" customHeight="1" x14ac:dyDescent="0.2"/>
    <row r="2342" ht="15.75" customHeight="1" x14ac:dyDescent="0.2"/>
    <row r="2343" ht="15.75" customHeight="1" x14ac:dyDescent="0.2"/>
    <row r="2344" ht="15.75" customHeight="1" x14ac:dyDescent="0.2"/>
    <row r="2345" ht="15.75" customHeight="1" x14ac:dyDescent="0.2"/>
    <row r="2346" ht="15.75" customHeight="1" x14ac:dyDescent="0.2"/>
    <row r="2347" ht="15.75" customHeight="1" x14ac:dyDescent="0.2"/>
    <row r="2348" ht="15.75" customHeight="1" x14ac:dyDescent="0.2"/>
    <row r="2349" ht="15.75" customHeight="1" x14ac:dyDescent="0.2"/>
    <row r="2350" ht="15.75" customHeight="1" x14ac:dyDescent="0.2"/>
    <row r="2351" ht="15.75" customHeight="1" x14ac:dyDescent="0.2"/>
    <row r="2352" ht="15.75" customHeight="1" x14ac:dyDescent="0.2"/>
    <row r="2353" ht="15.75" customHeight="1" x14ac:dyDescent="0.2"/>
    <row r="2354" ht="15.75" customHeight="1" x14ac:dyDescent="0.2"/>
    <row r="2355" ht="15.75" customHeight="1" x14ac:dyDescent="0.2"/>
    <row r="2356" ht="15.75" customHeight="1" x14ac:dyDescent="0.2"/>
    <row r="2357" ht="15.75" customHeight="1" x14ac:dyDescent="0.2"/>
    <row r="2358" ht="15.75" customHeight="1" x14ac:dyDescent="0.2"/>
    <row r="2359" ht="15.75" customHeight="1" x14ac:dyDescent="0.2"/>
    <row r="2360" ht="15.75" customHeight="1" x14ac:dyDescent="0.2"/>
    <row r="2361" ht="15.75" customHeight="1" x14ac:dyDescent="0.2"/>
    <row r="2362" ht="15.75" customHeight="1" x14ac:dyDescent="0.2"/>
    <row r="2363" ht="15.75" customHeight="1" x14ac:dyDescent="0.2"/>
    <row r="2364" ht="15.75" customHeight="1" x14ac:dyDescent="0.2"/>
    <row r="2365" ht="15.75" customHeight="1" x14ac:dyDescent="0.2"/>
    <row r="2366" ht="15.75" customHeight="1" x14ac:dyDescent="0.2"/>
    <row r="2367" ht="15.75" customHeight="1" x14ac:dyDescent="0.2"/>
    <row r="2368" ht="15.75" customHeight="1" x14ac:dyDescent="0.2"/>
    <row r="2369" ht="15.75" customHeight="1" x14ac:dyDescent="0.2"/>
    <row r="2370" ht="15.75" customHeight="1" x14ac:dyDescent="0.2"/>
    <row r="2371" ht="15.75" customHeight="1" x14ac:dyDescent="0.2"/>
    <row r="2372" ht="15.75" customHeight="1" x14ac:dyDescent="0.2"/>
    <row r="2373" ht="15.75" customHeight="1" x14ac:dyDescent="0.2"/>
    <row r="2374" ht="15.75" customHeight="1" x14ac:dyDescent="0.2"/>
    <row r="2375" ht="15.75" customHeight="1" x14ac:dyDescent="0.2"/>
    <row r="2376" ht="15.75" customHeight="1" x14ac:dyDescent="0.2"/>
    <row r="2377" ht="15.75" customHeight="1" x14ac:dyDescent="0.2"/>
    <row r="2378" ht="15.75" customHeight="1" x14ac:dyDescent="0.2"/>
    <row r="2379" ht="15.75" customHeight="1" x14ac:dyDescent="0.2"/>
    <row r="2380" ht="15.75" customHeight="1" x14ac:dyDescent="0.2"/>
    <row r="2381" ht="15.75" customHeight="1" x14ac:dyDescent="0.2"/>
    <row r="2382" ht="15.75" customHeight="1" x14ac:dyDescent="0.2"/>
    <row r="2383" ht="15.75" customHeight="1" x14ac:dyDescent="0.2"/>
    <row r="2384" ht="15.75" customHeight="1" x14ac:dyDescent="0.2"/>
    <row r="2385" ht="15.75" customHeight="1" x14ac:dyDescent="0.2"/>
    <row r="2386" ht="15.75" customHeight="1" x14ac:dyDescent="0.2"/>
    <row r="2387" ht="15.75" customHeight="1" x14ac:dyDescent="0.2"/>
    <row r="2388" ht="15.75" customHeight="1" x14ac:dyDescent="0.2"/>
    <row r="2389" ht="15.75" customHeight="1" x14ac:dyDescent="0.2"/>
    <row r="2390" ht="15.75" customHeight="1" x14ac:dyDescent="0.2"/>
    <row r="2391" ht="15.75" customHeight="1" x14ac:dyDescent="0.2"/>
    <row r="2392" ht="15.75" customHeight="1" x14ac:dyDescent="0.2"/>
    <row r="2393" ht="15.75" customHeight="1" x14ac:dyDescent="0.2"/>
    <row r="2394" ht="15.75" customHeight="1" x14ac:dyDescent="0.2"/>
    <row r="2395" ht="15.75" customHeight="1" x14ac:dyDescent="0.2"/>
    <row r="2396" ht="15.75" customHeight="1" x14ac:dyDescent="0.2"/>
    <row r="2397" ht="15.75" customHeight="1" x14ac:dyDescent="0.2"/>
    <row r="2398" ht="15.75" customHeight="1" x14ac:dyDescent="0.2"/>
    <row r="2399" ht="15.75" customHeight="1" x14ac:dyDescent="0.2"/>
    <row r="2400" ht="15.75" customHeight="1" x14ac:dyDescent="0.2"/>
    <row r="2401" ht="15.75" customHeight="1" x14ac:dyDescent="0.2"/>
    <row r="2402" ht="15.75" customHeight="1" x14ac:dyDescent="0.2"/>
    <row r="2403" ht="15.75" customHeight="1" x14ac:dyDescent="0.2"/>
    <row r="2404" ht="15.75" customHeight="1" x14ac:dyDescent="0.2"/>
    <row r="2405" ht="15.75" customHeight="1" x14ac:dyDescent="0.2"/>
    <row r="2406" ht="15.75" customHeight="1" x14ac:dyDescent="0.2"/>
    <row r="2407" ht="15.75" customHeight="1" x14ac:dyDescent="0.2"/>
    <row r="2408" ht="15.75" customHeight="1" x14ac:dyDescent="0.2"/>
    <row r="2409" ht="15.75" customHeight="1" x14ac:dyDescent="0.2"/>
    <row r="2410" ht="15.75" customHeight="1" x14ac:dyDescent="0.2"/>
    <row r="2411" ht="15.75" customHeight="1" x14ac:dyDescent="0.2"/>
    <row r="2412" ht="15.75" customHeight="1" x14ac:dyDescent="0.2"/>
    <row r="2413" ht="15.75" customHeight="1" x14ac:dyDescent="0.2"/>
    <row r="2414" ht="15.75" customHeight="1" x14ac:dyDescent="0.2"/>
    <row r="2415" ht="15.75" customHeight="1" x14ac:dyDescent="0.2"/>
    <row r="2416" ht="15.75" customHeight="1" x14ac:dyDescent="0.2"/>
    <row r="2417" ht="15.75" customHeight="1" x14ac:dyDescent="0.2"/>
    <row r="2418" ht="15.75" customHeight="1" x14ac:dyDescent="0.2"/>
    <row r="2419" ht="15.75" customHeight="1" x14ac:dyDescent="0.2"/>
    <row r="2420" ht="15.75" customHeight="1" x14ac:dyDescent="0.2"/>
    <row r="2421" ht="15.75" customHeight="1" x14ac:dyDescent="0.2"/>
    <row r="2422" ht="15.75" customHeight="1" x14ac:dyDescent="0.2"/>
    <row r="2423" ht="15.75" customHeight="1" x14ac:dyDescent="0.2"/>
    <row r="2424" ht="15.75" customHeight="1" x14ac:dyDescent="0.2"/>
    <row r="2425" ht="15.75" customHeight="1" x14ac:dyDescent="0.2"/>
    <row r="2426" ht="15.75" customHeight="1" x14ac:dyDescent="0.2"/>
    <row r="2427" ht="15.75" customHeight="1" x14ac:dyDescent="0.2"/>
    <row r="2428" ht="15.75" customHeight="1" x14ac:dyDescent="0.2"/>
    <row r="2429" ht="15.75" customHeight="1" x14ac:dyDescent="0.2"/>
    <row r="2430" ht="15.75" customHeight="1" x14ac:dyDescent="0.2"/>
    <row r="2431" ht="15.75" customHeight="1" x14ac:dyDescent="0.2"/>
    <row r="2432" ht="15.75" customHeight="1" x14ac:dyDescent="0.2"/>
    <row r="2433" ht="15.75" customHeight="1" x14ac:dyDescent="0.2"/>
    <row r="2434" ht="15.75" customHeight="1" x14ac:dyDescent="0.2"/>
    <row r="2435" ht="15.75" customHeight="1" x14ac:dyDescent="0.2"/>
    <row r="2436" ht="15.75" customHeight="1" x14ac:dyDescent="0.2"/>
    <row r="2437" ht="15.75" customHeight="1" x14ac:dyDescent="0.2"/>
    <row r="2438" ht="15.75" customHeight="1" x14ac:dyDescent="0.2"/>
    <row r="2439" ht="15.75" customHeight="1" x14ac:dyDescent="0.2"/>
    <row r="2440" ht="15.75" customHeight="1" x14ac:dyDescent="0.2"/>
    <row r="2441" ht="15.75" customHeight="1" x14ac:dyDescent="0.2"/>
    <row r="2442" ht="15.75" customHeight="1" x14ac:dyDescent="0.2"/>
    <row r="2443" ht="15.75" customHeight="1" x14ac:dyDescent="0.2"/>
    <row r="2444" ht="15.75" customHeight="1" x14ac:dyDescent="0.2"/>
    <row r="2445" ht="15.75" customHeight="1" x14ac:dyDescent="0.2"/>
    <row r="2446" ht="15.75" customHeight="1" x14ac:dyDescent="0.2"/>
    <row r="2447" ht="15.75" customHeight="1" x14ac:dyDescent="0.2"/>
    <row r="2448" ht="15.75" customHeight="1" x14ac:dyDescent="0.2"/>
    <row r="2449" ht="15.75" customHeight="1" x14ac:dyDescent="0.2"/>
    <row r="2450" ht="15.75" customHeight="1" x14ac:dyDescent="0.2"/>
    <row r="2451" ht="15.75" customHeight="1" x14ac:dyDescent="0.2"/>
    <row r="2452" ht="15.75" customHeight="1" x14ac:dyDescent="0.2"/>
    <row r="2453" ht="15.75" customHeight="1" x14ac:dyDescent="0.2"/>
    <row r="2454" ht="15.75" customHeight="1" x14ac:dyDescent="0.2"/>
    <row r="2455" ht="15.75" customHeight="1" x14ac:dyDescent="0.2"/>
    <row r="2456" ht="15.75" customHeight="1" x14ac:dyDescent="0.2"/>
    <row r="2457" ht="15.75" customHeight="1" x14ac:dyDescent="0.2"/>
    <row r="2458" ht="15.75" customHeight="1" x14ac:dyDescent="0.2"/>
    <row r="2459" ht="15.75" customHeight="1" x14ac:dyDescent="0.2"/>
    <row r="2460" ht="15.75" customHeight="1" x14ac:dyDescent="0.2"/>
    <row r="2461" ht="15.75" customHeight="1" x14ac:dyDescent="0.2"/>
    <row r="2462" ht="15.75" customHeight="1" x14ac:dyDescent="0.2"/>
    <row r="2463" ht="15.75" customHeight="1" x14ac:dyDescent="0.2"/>
    <row r="2464" ht="15.75" customHeight="1" x14ac:dyDescent="0.2"/>
    <row r="2465" ht="15.75" customHeight="1" x14ac:dyDescent="0.2"/>
    <row r="2466" ht="15.75" customHeight="1" x14ac:dyDescent="0.2"/>
    <row r="2467" ht="15.75" customHeight="1" x14ac:dyDescent="0.2"/>
    <row r="2468" ht="15.75" customHeight="1" x14ac:dyDescent="0.2"/>
    <row r="2469" ht="15.75" customHeight="1" x14ac:dyDescent="0.2"/>
    <row r="2470" ht="15.75" customHeight="1" x14ac:dyDescent="0.2"/>
    <row r="2471" ht="15.75" customHeight="1" x14ac:dyDescent="0.2"/>
    <row r="2472" ht="15.75" customHeight="1" x14ac:dyDescent="0.2"/>
    <row r="2473" ht="15.75" customHeight="1" x14ac:dyDescent="0.2"/>
    <row r="2474" ht="15.75" customHeight="1" x14ac:dyDescent="0.2"/>
    <row r="2475" ht="15.75" customHeight="1" x14ac:dyDescent="0.2"/>
    <row r="2476" ht="15.75" customHeight="1" x14ac:dyDescent="0.2"/>
    <row r="2477" ht="15.75" customHeight="1" x14ac:dyDescent="0.2"/>
    <row r="2478" ht="15.75" customHeight="1" x14ac:dyDescent="0.2"/>
    <row r="2479" ht="15.75" customHeight="1" x14ac:dyDescent="0.2"/>
    <row r="2480" ht="15.75" customHeight="1" x14ac:dyDescent="0.2"/>
    <row r="2481" ht="15.75" customHeight="1" x14ac:dyDescent="0.2"/>
    <row r="2482" ht="15.75" customHeight="1" x14ac:dyDescent="0.2"/>
    <row r="2483" ht="15.75" customHeight="1" x14ac:dyDescent="0.2"/>
    <row r="2484" ht="15.75" customHeight="1" x14ac:dyDescent="0.2"/>
    <row r="2485" ht="15.75" customHeight="1" x14ac:dyDescent="0.2"/>
    <row r="2486" ht="15.75" customHeight="1" x14ac:dyDescent="0.2"/>
    <row r="2487" ht="15.75" customHeight="1" x14ac:dyDescent="0.2"/>
    <row r="2488" ht="15.75" customHeight="1" x14ac:dyDescent="0.2"/>
    <row r="2489" ht="15.75" customHeight="1" x14ac:dyDescent="0.2"/>
    <row r="2490" ht="15.75" customHeight="1" x14ac:dyDescent="0.2"/>
    <row r="2491" ht="15.75" customHeight="1" x14ac:dyDescent="0.2"/>
    <row r="2492" ht="15.75" customHeight="1" x14ac:dyDescent="0.2"/>
    <row r="2493" ht="15.75" customHeight="1" x14ac:dyDescent="0.2"/>
    <row r="2494" ht="15.75" customHeight="1" x14ac:dyDescent="0.2"/>
    <row r="2495" ht="15.75" customHeight="1" x14ac:dyDescent="0.2"/>
    <row r="2496" ht="15.75" customHeight="1" x14ac:dyDescent="0.2"/>
    <row r="2497" ht="15.75" customHeight="1" x14ac:dyDescent="0.2"/>
    <row r="2498" ht="15.75" customHeight="1" x14ac:dyDescent="0.2"/>
    <row r="2499" ht="15.75" customHeight="1" x14ac:dyDescent="0.2"/>
    <row r="2500" ht="15.75" customHeight="1" x14ac:dyDescent="0.2"/>
    <row r="2501" ht="15.75" customHeight="1" x14ac:dyDescent="0.2"/>
    <row r="2502" ht="15.75" customHeight="1" x14ac:dyDescent="0.2"/>
    <row r="2503" ht="15.75" customHeight="1" x14ac:dyDescent="0.2"/>
    <row r="2504" ht="15.75" customHeight="1" x14ac:dyDescent="0.2"/>
    <row r="2505" ht="15.75" customHeight="1" x14ac:dyDescent="0.2"/>
    <row r="2506" ht="15.75" customHeight="1" x14ac:dyDescent="0.2"/>
    <row r="2507" ht="15.75" customHeight="1" x14ac:dyDescent="0.2"/>
    <row r="2508" ht="15.75" customHeight="1" x14ac:dyDescent="0.2"/>
    <row r="2509" ht="15.75" customHeight="1" x14ac:dyDescent="0.2"/>
    <row r="2510" ht="15.75" customHeight="1" x14ac:dyDescent="0.2"/>
    <row r="2511" ht="15.75" customHeight="1" x14ac:dyDescent="0.2"/>
    <row r="2512" ht="15.75" customHeight="1" x14ac:dyDescent="0.2"/>
    <row r="2513" ht="15.75" customHeight="1" x14ac:dyDescent="0.2"/>
    <row r="2514" ht="15.75" customHeight="1" x14ac:dyDescent="0.2"/>
    <row r="2515" ht="15.75" customHeight="1" x14ac:dyDescent="0.2"/>
    <row r="2516" ht="15.75" customHeight="1" x14ac:dyDescent="0.2"/>
    <row r="2517" ht="15.75" customHeight="1" x14ac:dyDescent="0.2"/>
    <row r="2518" ht="15.75" customHeight="1" x14ac:dyDescent="0.2"/>
    <row r="2519" ht="15.75" customHeight="1" x14ac:dyDescent="0.2"/>
    <row r="2520" ht="15.75" customHeight="1" x14ac:dyDescent="0.2"/>
    <row r="2521" ht="15.75" customHeight="1" x14ac:dyDescent="0.2"/>
    <row r="2522" ht="15.75" customHeight="1" x14ac:dyDescent="0.2"/>
    <row r="2523" ht="15.75" customHeight="1" x14ac:dyDescent="0.2"/>
    <row r="2524" ht="15.75" customHeight="1" x14ac:dyDescent="0.2"/>
    <row r="2525" ht="15.75" customHeight="1" x14ac:dyDescent="0.2"/>
    <row r="2526" ht="15.75" customHeight="1" x14ac:dyDescent="0.2"/>
    <row r="2527" ht="15.75" customHeight="1" x14ac:dyDescent="0.2"/>
    <row r="2528" ht="15.75" customHeight="1" x14ac:dyDescent="0.2"/>
    <row r="2529" ht="15.75" customHeight="1" x14ac:dyDescent="0.2"/>
    <row r="2530" ht="15.75" customHeight="1" x14ac:dyDescent="0.2"/>
    <row r="2531" ht="15.75" customHeight="1" x14ac:dyDescent="0.2"/>
    <row r="2532" ht="15.75" customHeight="1" x14ac:dyDescent="0.2"/>
    <row r="2533" ht="15.75" customHeight="1" x14ac:dyDescent="0.2"/>
    <row r="2534" ht="15.75" customHeight="1" x14ac:dyDescent="0.2"/>
    <row r="2535" ht="15.75" customHeight="1" x14ac:dyDescent="0.2"/>
    <row r="2536" ht="15.75" customHeight="1" x14ac:dyDescent="0.2"/>
    <row r="2537" ht="15.75" customHeight="1" x14ac:dyDescent="0.2"/>
    <row r="2538" ht="15.75" customHeight="1" x14ac:dyDescent="0.2"/>
    <row r="2539" ht="15.75" customHeight="1" x14ac:dyDescent="0.2"/>
    <row r="2540" ht="15.75" customHeight="1" x14ac:dyDescent="0.2"/>
    <row r="2541" ht="15.75" customHeight="1" x14ac:dyDescent="0.2"/>
    <row r="2542" ht="15.75" customHeight="1" x14ac:dyDescent="0.2"/>
    <row r="2543" ht="15.75" customHeight="1" x14ac:dyDescent="0.2"/>
    <row r="2544" ht="15.75" customHeight="1" x14ac:dyDescent="0.2"/>
    <row r="2545" ht="15.75" customHeight="1" x14ac:dyDescent="0.2"/>
    <row r="2546" ht="15.75" customHeight="1" x14ac:dyDescent="0.2"/>
    <row r="2547" ht="15.75" customHeight="1" x14ac:dyDescent="0.2"/>
    <row r="2548" ht="15.75" customHeight="1" x14ac:dyDescent="0.2"/>
    <row r="2549" ht="15.75" customHeight="1" x14ac:dyDescent="0.2"/>
    <row r="2550" ht="15.75" customHeight="1" x14ac:dyDescent="0.2"/>
    <row r="2551" ht="15.75" customHeight="1" x14ac:dyDescent="0.2"/>
    <row r="2552" ht="15.75" customHeight="1" x14ac:dyDescent="0.2"/>
    <row r="2553" ht="15.75" customHeight="1" x14ac:dyDescent="0.2"/>
    <row r="2554" ht="15.75" customHeight="1" x14ac:dyDescent="0.2"/>
    <row r="2555" ht="15.75" customHeight="1" x14ac:dyDescent="0.2"/>
    <row r="2556" ht="15.75" customHeight="1" x14ac:dyDescent="0.2"/>
    <row r="2557" ht="15.75" customHeight="1" x14ac:dyDescent="0.2"/>
    <row r="2558" ht="15.75" customHeight="1" x14ac:dyDescent="0.2"/>
    <row r="2559" ht="15.75" customHeight="1" x14ac:dyDescent="0.2"/>
    <row r="2560" ht="15.75" customHeight="1" x14ac:dyDescent="0.2"/>
    <row r="2561" ht="15.75" customHeight="1" x14ac:dyDescent="0.2"/>
    <row r="2562" ht="15.75" customHeight="1" x14ac:dyDescent="0.2"/>
    <row r="2563" ht="15.75" customHeight="1" x14ac:dyDescent="0.2"/>
    <row r="2564" ht="15.75" customHeight="1" x14ac:dyDescent="0.2"/>
    <row r="2565" ht="15.75" customHeight="1" x14ac:dyDescent="0.2"/>
    <row r="2566" ht="15.75" customHeight="1" x14ac:dyDescent="0.2"/>
    <row r="2567" ht="15.75" customHeight="1" x14ac:dyDescent="0.2"/>
    <row r="2568" ht="15.75" customHeight="1" x14ac:dyDescent="0.2"/>
    <row r="2569" ht="15.75" customHeight="1" x14ac:dyDescent="0.2"/>
    <row r="2570" ht="15.75" customHeight="1" x14ac:dyDescent="0.2"/>
    <row r="2571" ht="15.75" customHeight="1" x14ac:dyDescent="0.2"/>
    <row r="2572" ht="15.75" customHeight="1" x14ac:dyDescent="0.2"/>
    <row r="2573" ht="15.75" customHeight="1" x14ac:dyDescent="0.2"/>
    <row r="2574" ht="15.75" customHeight="1" x14ac:dyDescent="0.2"/>
    <row r="2575" ht="15.75" customHeight="1" x14ac:dyDescent="0.2"/>
    <row r="2576" ht="15.75" customHeight="1" x14ac:dyDescent="0.2"/>
    <row r="2577" ht="15.75" customHeight="1" x14ac:dyDescent="0.2"/>
    <row r="2578" ht="15.75" customHeight="1" x14ac:dyDescent="0.2"/>
    <row r="2579" ht="15.75" customHeight="1" x14ac:dyDescent="0.2"/>
    <row r="2580" ht="15.75" customHeight="1" x14ac:dyDescent="0.2"/>
    <row r="2581" ht="15.75" customHeight="1" x14ac:dyDescent="0.2"/>
    <row r="2582" ht="15.75" customHeight="1" x14ac:dyDescent="0.2"/>
    <row r="2583" ht="15.75" customHeight="1" x14ac:dyDescent="0.2"/>
    <row r="2584" ht="15.75" customHeight="1" x14ac:dyDescent="0.2"/>
    <row r="2585" ht="15.75" customHeight="1" x14ac:dyDescent="0.2"/>
    <row r="2586" ht="15.75" customHeight="1" x14ac:dyDescent="0.2"/>
    <row r="2587" ht="15.75" customHeight="1" x14ac:dyDescent="0.2"/>
    <row r="2588" ht="15.75" customHeight="1" x14ac:dyDescent="0.2"/>
    <row r="2589" ht="15.75" customHeight="1" x14ac:dyDescent="0.2"/>
    <row r="2590" ht="15.75" customHeight="1" x14ac:dyDescent="0.2"/>
    <row r="2591" ht="15.75" customHeight="1" x14ac:dyDescent="0.2"/>
    <row r="2592" ht="15.75" customHeight="1" x14ac:dyDescent="0.2"/>
    <row r="2593" ht="15.75" customHeight="1" x14ac:dyDescent="0.2"/>
    <row r="2594" ht="15.75" customHeight="1" x14ac:dyDescent="0.2"/>
    <row r="2595" ht="15.75" customHeight="1" x14ac:dyDescent="0.2"/>
    <row r="2596" ht="15.75" customHeight="1" x14ac:dyDescent="0.2"/>
    <row r="2597" ht="15.75" customHeight="1" x14ac:dyDescent="0.2"/>
    <row r="2598" ht="15.75" customHeight="1" x14ac:dyDescent="0.2"/>
    <row r="2599" ht="15.75" customHeight="1" x14ac:dyDescent="0.2"/>
    <row r="2600" ht="15.75" customHeight="1" x14ac:dyDescent="0.2"/>
    <row r="2601" ht="15.75" customHeight="1" x14ac:dyDescent="0.2"/>
    <row r="2602" ht="15.75" customHeight="1" x14ac:dyDescent="0.2"/>
    <row r="2603" ht="15.75" customHeight="1" x14ac:dyDescent="0.2"/>
    <row r="2604" ht="15.75" customHeight="1" x14ac:dyDescent="0.2"/>
    <row r="2605" ht="15.75" customHeight="1" x14ac:dyDescent="0.2"/>
    <row r="2606" ht="15.75" customHeight="1" x14ac:dyDescent="0.2"/>
    <row r="2607" ht="15.75" customHeight="1" x14ac:dyDescent="0.2"/>
    <row r="2608" ht="15.75" customHeight="1" x14ac:dyDescent="0.2"/>
    <row r="2609" ht="15.75" customHeight="1" x14ac:dyDescent="0.2"/>
    <row r="2610" ht="15.75" customHeight="1" x14ac:dyDescent="0.2"/>
    <row r="2611" ht="15.75" customHeight="1" x14ac:dyDescent="0.2"/>
    <row r="2612" ht="15.75" customHeight="1" x14ac:dyDescent="0.2"/>
    <row r="2613" ht="15.75" customHeight="1" x14ac:dyDescent="0.2"/>
    <row r="2614" ht="15.75" customHeight="1" x14ac:dyDescent="0.2"/>
    <row r="2615" ht="15.75" customHeight="1" x14ac:dyDescent="0.2"/>
    <row r="2616" ht="15.75" customHeight="1" x14ac:dyDescent="0.2"/>
    <row r="2617" ht="15.75" customHeight="1" x14ac:dyDescent="0.2"/>
    <row r="2618" ht="15.75" customHeight="1" x14ac:dyDescent="0.2"/>
    <row r="2619" ht="15.75" customHeight="1" x14ac:dyDescent="0.2"/>
    <row r="2620" ht="15.75" customHeight="1" x14ac:dyDescent="0.2"/>
    <row r="2621" ht="15.75" customHeight="1" x14ac:dyDescent="0.2"/>
    <row r="2622" ht="15.75" customHeight="1" x14ac:dyDescent="0.2"/>
    <row r="2623" ht="15.75" customHeight="1" x14ac:dyDescent="0.2"/>
    <row r="2624" ht="15.75" customHeight="1" x14ac:dyDescent="0.2"/>
    <row r="2625" ht="15.75" customHeight="1" x14ac:dyDescent="0.2"/>
    <row r="2626" ht="15.75" customHeight="1" x14ac:dyDescent="0.2"/>
    <row r="2627" ht="15.75" customHeight="1" x14ac:dyDescent="0.2"/>
    <row r="2628" ht="15.75" customHeight="1" x14ac:dyDescent="0.2"/>
    <row r="2629" ht="15.75" customHeight="1" x14ac:dyDescent="0.2"/>
    <row r="2630" ht="15.75" customHeight="1" x14ac:dyDescent="0.2"/>
    <row r="2631" ht="15.75" customHeight="1" x14ac:dyDescent="0.2"/>
    <row r="2632" ht="15.75" customHeight="1" x14ac:dyDescent="0.2"/>
    <row r="2633" ht="15.75" customHeight="1" x14ac:dyDescent="0.2"/>
    <row r="2634" ht="15.75" customHeight="1" x14ac:dyDescent="0.2"/>
    <row r="2635" ht="15.75" customHeight="1" x14ac:dyDescent="0.2"/>
    <row r="2636" ht="15.75" customHeight="1" x14ac:dyDescent="0.2"/>
    <row r="2637" ht="15.75" customHeight="1" x14ac:dyDescent="0.2"/>
    <row r="2638" ht="15.75" customHeight="1" x14ac:dyDescent="0.2"/>
    <row r="2639" ht="15.75" customHeight="1" x14ac:dyDescent="0.2"/>
    <row r="2640" ht="15.75" customHeight="1" x14ac:dyDescent="0.2"/>
    <row r="2641" ht="15.75" customHeight="1" x14ac:dyDescent="0.2"/>
    <row r="2642" ht="15.75" customHeight="1" x14ac:dyDescent="0.2"/>
    <row r="2643" ht="15.75" customHeight="1" x14ac:dyDescent="0.2"/>
    <row r="2644" ht="15.75" customHeight="1" x14ac:dyDescent="0.2"/>
    <row r="2645" ht="15.75" customHeight="1" x14ac:dyDescent="0.2"/>
    <row r="2646" ht="15.75" customHeight="1" x14ac:dyDescent="0.2"/>
    <row r="2647" ht="15.75" customHeight="1" x14ac:dyDescent="0.2"/>
    <row r="2648" ht="15.75" customHeight="1" x14ac:dyDescent="0.2"/>
    <row r="2649" ht="15.75" customHeight="1" x14ac:dyDescent="0.2"/>
    <row r="2650" ht="15.75" customHeight="1" x14ac:dyDescent="0.2"/>
    <row r="2651" ht="15.75" customHeight="1" x14ac:dyDescent="0.2"/>
    <row r="2652" ht="15.75" customHeight="1" x14ac:dyDescent="0.2"/>
    <row r="2653" ht="15.75" customHeight="1" x14ac:dyDescent="0.2"/>
    <row r="2654" ht="15.75" customHeight="1" x14ac:dyDescent="0.2"/>
    <row r="2655" ht="15.75" customHeight="1" x14ac:dyDescent="0.2"/>
    <row r="2656" ht="15.75" customHeight="1" x14ac:dyDescent="0.2"/>
    <row r="2657" ht="15.75" customHeight="1" x14ac:dyDescent="0.2"/>
    <row r="2658" ht="15.75" customHeight="1" x14ac:dyDescent="0.2"/>
    <row r="2659" ht="15.75" customHeight="1" x14ac:dyDescent="0.2"/>
    <row r="2660" ht="15.75" customHeight="1" x14ac:dyDescent="0.2"/>
    <row r="2661" ht="15.75" customHeight="1" x14ac:dyDescent="0.2"/>
    <row r="2662" ht="15.75" customHeight="1" x14ac:dyDescent="0.2"/>
    <row r="2663" ht="15.75" customHeight="1" x14ac:dyDescent="0.2"/>
    <row r="2664" ht="15.75" customHeight="1" x14ac:dyDescent="0.2"/>
    <row r="2665" ht="15.75" customHeight="1" x14ac:dyDescent="0.2"/>
    <row r="2666" ht="15.75" customHeight="1" x14ac:dyDescent="0.2"/>
    <row r="2667" ht="15.75" customHeight="1" x14ac:dyDescent="0.2"/>
    <row r="2668" ht="15.75" customHeight="1" x14ac:dyDescent="0.2"/>
    <row r="2669" ht="15.75" customHeight="1" x14ac:dyDescent="0.2"/>
    <row r="2670" ht="15.75" customHeight="1" x14ac:dyDescent="0.2"/>
    <row r="2671" ht="15.75" customHeight="1" x14ac:dyDescent="0.2"/>
    <row r="2672" ht="15.75" customHeight="1" x14ac:dyDescent="0.2"/>
    <row r="2673" ht="15.75" customHeight="1" x14ac:dyDescent="0.2"/>
    <row r="2674" ht="15.75" customHeight="1" x14ac:dyDescent="0.2"/>
    <row r="2675" ht="15.75" customHeight="1" x14ac:dyDescent="0.2"/>
    <row r="2676" ht="15.75" customHeight="1" x14ac:dyDescent="0.2"/>
    <row r="2677" ht="15.75" customHeight="1" x14ac:dyDescent="0.2"/>
    <row r="2678" ht="15.75" customHeight="1" x14ac:dyDescent="0.2"/>
    <row r="2679" ht="15.75" customHeight="1" x14ac:dyDescent="0.2"/>
    <row r="2680" ht="15.75" customHeight="1" x14ac:dyDescent="0.2"/>
    <row r="2681" ht="15.75" customHeight="1" x14ac:dyDescent="0.2"/>
    <row r="2682" ht="15.75" customHeight="1" x14ac:dyDescent="0.2"/>
    <row r="2683" ht="15.75" customHeight="1" x14ac:dyDescent="0.2"/>
    <row r="2684" ht="15.75" customHeight="1" x14ac:dyDescent="0.2"/>
    <row r="2685" ht="15.75" customHeight="1" x14ac:dyDescent="0.2"/>
    <row r="2686" ht="15.75" customHeight="1" x14ac:dyDescent="0.2"/>
    <row r="2687" ht="15.75" customHeight="1" x14ac:dyDescent="0.2"/>
    <row r="2688" ht="15.75" customHeight="1" x14ac:dyDescent="0.2"/>
    <row r="2689" ht="15.75" customHeight="1" x14ac:dyDescent="0.2"/>
    <row r="2690" ht="15.75" customHeight="1" x14ac:dyDescent="0.2"/>
    <row r="2691" ht="15.75" customHeight="1" x14ac:dyDescent="0.2"/>
    <row r="2692" ht="15.75" customHeight="1" x14ac:dyDescent="0.2"/>
    <row r="2693" ht="15.75" customHeight="1" x14ac:dyDescent="0.2"/>
    <row r="2694" ht="15.75" customHeight="1" x14ac:dyDescent="0.2"/>
    <row r="2695" ht="15.75" customHeight="1" x14ac:dyDescent="0.2"/>
    <row r="2696" ht="15.75" customHeight="1" x14ac:dyDescent="0.2"/>
    <row r="2697" ht="15.75" customHeight="1" x14ac:dyDescent="0.2"/>
    <row r="2698" ht="15.75" customHeight="1" x14ac:dyDescent="0.2"/>
    <row r="2699" ht="15.75" customHeight="1" x14ac:dyDescent="0.2"/>
    <row r="2700" ht="15.75" customHeight="1" x14ac:dyDescent="0.2"/>
    <row r="2701" ht="15.75" customHeight="1" x14ac:dyDescent="0.2"/>
    <row r="2702" ht="15.75" customHeight="1" x14ac:dyDescent="0.2"/>
    <row r="2703" ht="15.75" customHeight="1" x14ac:dyDescent="0.2"/>
    <row r="2704" ht="15.75" customHeight="1" x14ac:dyDescent="0.2"/>
    <row r="2705" ht="15.75" customHeight="1" x14ac:dyDescent="0.2"/>
    <row r="2706" ht="15.75" customHeight="1" x14ac:dyDescent="0.2"/>
    <row r="2707" ht="15.75" customHeight="1" x14ac:dyDescent="0.2"/>
    <row r="2708" ht="15.75" customHeight="1" x14ac:dyDescent="0.2"/>
    <row r="2709" ht="15.75" customHeight="1" x14ac:dyDescent="0.2"/>
    <row r="2710" ht="15.75" customHeight="1" x14ac:dyDescent="0.2"/>
    <row r="2711" ht="15.75" customHeight="1" x14ac:dyDescent="0.2"/>
    <row r="2712" ht="15.75" customHeight="1" x14ac:dyDescent="0.2"/>
    <row r="2713" ht="15.75" customHeight="1" x14ac:dyDescent="0.2"/>
    <row r="2714" ht="15.75" customHeight="1" x14ac:dyDescent="0.2"/>
    <row r="2715" ht="15.75" customHeight="1" x14ac:dyDescent="0.2"/>
    <row r="2716" ht="15.75" customHeight="1" x14ac:dyDescent="0.2"/>
    <row r="2717" ht="15.75" customHeight="1" x14ac:dyDescent="0.2"/>
    <row r="2718" ht="15.75" customHeight="1" x14ac:dyDescent="0.2"/>
    <row r="2719" ht="15.75" customHeight="1" x14ac:dyDescent="0.2"/>
    <row r="2720" ht="15.75" customHeight="1" x14ac:dyDescent="0.2"/>
    <row r="2721" ht="15.75" customHeight="1" x14ac:dyDescent="0.2"/>
    <row r="2722" ht="15.75" customHeight="1" x14ac:dyDescent="0.2"/>
    <row r="2723" ht="15.75" customHeight="1" x14ac:dyDescent="0.2"/>
    <row r="2724" ht="15.75" customHeight="1" x14ac:dyDescent="0.2"/>
    <row r="2725" ht="15.75" customHeight="1" x14ac:dyDescent="0.2"/>
    <row r="2726" ht="15.75" customHeight="1" x14ac:dyDescent="0.2"/>
    <row r="2727" ht="15.75" customHeight="1" x14ac:dyDescent="0.2"/>
    <row r="2728" ht="15.75" customHeight="1" x14ac:dyDescent="0.2"/>
    <row r="2729" ht="15.75" customHeight="1" x14ac:dyDescent="0.2"/>
    <row r="2730" ht="15.75" customHeight="1" x14ac:dyDescent="0.2"/>
    <row r="2731" ht="15.75" customHeight="1" x14ac:dyDescent="0.2"/>
    <row r="2732" ht="15.75" customHeight="1" x14ac:dyDescent="0.2"/>
    <row r="2733" ht="15.75" customHeight="1" x14ac:dyDescent="0.2"/>
    <row r="2734" ht="15.75" customHeight="1" x14ac:dyDescent="0.2"/>
    <row r="2735" ht="15.75" customHeight="1" x14ac:dyDescent="0.2"/>
    <row r="2736" ht="15.75" customHeight="1" x14ac:dyDescent="0.2"/>
    <row r="2737" ht="15.75" customHeight="1" x14ac:dyDescent="0.2"/>
    <row r="2738" ht="15.75" customHeight="1" x14ac:dyDescent="0.2"/>
    <row r="2739" ht="15.75" customHeight="1" x14ac:dyDescent="0.2"/>
    <row r="2740" ht="15.75" customHeight="1" x14ac:dyDescent="0.2"/>
    <row r="2741" ht="15.75" customHeight="1" x14ac:dyDescent="0.2"/>
    <row r="2742" ht="15.75" customHeight="1" x14ac:dyDescent="0.2"/>
    <row r="2743" ht="15.75" customHeight="1" x14ac:dyDescent="0.2"/>
    <row r="2744" ht="15.75" customHeight="1" x14ac:dyDescent="0.2"/>
    <row r="2745" ht="15.75" customHeight="1" x14ac:dyDescent="0.2"/>
    <row r="2746" ht="15.75" customHeight="1" x14ac:dyDescent="0.2"/>
    <row r="2747" ht="15.75" customHeight="1" x14ac:dyDescent="0.2"/>
    <row r="2748" ht="15.75" customHeight="1" x14ac:dyDescent="0.2"/>
    <row r="2749" ht="15.75" customHeight="1" x14ac:dyDescent="0.2"/>
    <row r="2750" ht="15.75" customHeight="1" x14ac:dyDescent="0.2"/>
    <row r="2751" ht="15.75" customHeight="1" x14ac:dyDescent="0.2"/>
    <row r="2752" ht="15.75" customHeight="1" x14ac:dyDescent="0.2"/>
    <row r="2753" ht="15.75" customHeight="1" x14ac:dyDescent="0.2"/>
    <row r="2754" ht="15.75" customHeight="1" x14ac:dyDescent="0.2"/>
    <row r="2755" ht="15.75" customHeight="1" x14ac:dyDescent="0.2"/>
    <row r="2756" ht="15.75" customHeight="1" x14ac:dyDescent="0.2"/>
    <row r="2757" ht="15.75" customHeight="1" x14ac:dyDescent="0.2"/>
    <row r="2758" ht="15.75" customHeight="1" x14ac:dyDescent="0.2"/>
    <row r="2759" ht="15.75" customHeight="1" x14ac:dyDescent="0.2"/>
    <row r="2760" ht="15.75" customHeight="1" x14ac:dyDescent="0.2"/>
    <row r="2761" ht="15.75" customHeight="1" x14ac:dyDescent="0.2"/>
    <row r="2762" ht="15.75" customHeight="1" x14ac:dyDescent="0.2"/>
    <row r="2763" ht="15.75" customHeight="1" x14ac:dyDescent="0.2"/>
    <row r="2764" ht="15.75" customHeight="1" x14ac:dyDescent="0.2"/>
    <row r="2765" ht="15.75" customHeight="1" x14ac:dyDescent="0.2"/>
    <row r="2766" ht="15.75" customHeight="1" x14ac:dyDescent="0.2"/>
    <row r="2767" ht="15.75" customHeight="1" x14ac:dyDescent="0.2"/>
    <row r="2768" ht="15.75" customHeight="1" x14ac:dyDescent="0.2"/>
    <row r="2769" ht="15.75" customHeight="1" x14ac:dyDescent="0.2"/>
    <row r="2770" ht="15.75" customHeight="1" x14ac:dyDescent="0.2"/>
    <row r="2771" ht="15.75" customHeight="1" x14ac:dyDescent="0.2"/>
    <row r="2772" ht="15.75" customHeight="1" x14ac:dyDescent="0.2"/>
    <row r="2773" ht="15.75" customHeight="1" x14ac:dyDescent="0.2"/>
    <row r="2774" ht="15.75" customHeight="1" x14ac:dyDescent="0.2"/>
    <row r="2775" ht="15.75" customHeight="1" x14ac:dyDescent="0.2"/>
    <row r="2776" ht="15.75" customHeight="1" x14ac:dyDescent="0.2"/>
    <row r="2777" ht="15.75" customHeight="1" x14ac:dyDescent="0.2"/>
    <row r="2778" ht="15.75" customHeight="1" x14ac:dyDescent="0.2"/>
    <row r="2779" ht="15.75" customHeight="1" x14ac:dyDescent="0.2"/>
    <row r="2780" ht="15.75" customHeight="1" x14ac:dyDescent="0.2"/>
    <row r="2781" ht="15.75" customHeight="1" x14ac:dyDescent="0.2"/>
    <row r="2782" ht="15.75" customHeight="1" x14ac:dyDescent="0.2"/>
    <row r="2783" ht="15.75" customHeight="1" x14ac:dyDescent="0.2"/>
    <row r="2784" ht="15.75" customHeight="1" x14ac:dyDescent="0.2"/>
    <row r="2785" ht="15.75" customHeight="1" x14ac:dyDescent="0.2"/>
    <row r="2786" ht="15.75" customHeight="1" x14ac:dyDescent="0.2"/>
    <row r="2787" ht="15.75" customHeight="1" x14ac:dyDescent="0.2"/>
    <row r="2788" ht="15.75" customHeight="1" x14ac:dyDescent="0.2"/>
    <row r="2789" ht="15.75" customHeight="1" x14ac:dyDescent="0.2"/>
    <row r="2790" ht="15.75" customHeight="1" x14ac:dyDescent="0.2"/>
    <row r="2791" ht="15.75" customHeight="1" x14ac:dyDescent="0.2"/>
    <row r="2792" ht="15.75" customHeight="1" x14ac:dyDescent="0.2"/>
    <row r="2793" ht="15.75" customHeight="1" x14ac:dyDescent="0.2"/>
    <row r="2794" ht="15.75" customHeight="1" x14ac:dyDescent="0.2"/>
    <row r="2795" ht="15.75" customHeight="1" x14ac:dyDescent="0.2"/>
    <row r="2796" ht="15.75" customHeight="1" x14ac:dyDescent="0.2"/>
    <row r="2797" ht="15.75" customHeight="1" x14ac:dyDescent="0.2"/>
    <row r="2798" ht="15.75" customHeight="1" x14ac:dyDescent="0.2"/>
    <row r="2799" ht="15.75" customHeight="1" x14ac:dyDescent="0.2"/>
    <row r="2800" ht="15.75" customHeight="1" x14ac:dyDescent="0.2"/>
    <row r="2801" ht="15.75" customHeight="1" x14ac:dyDescent="0.2"/>
    <row r="2802" ht="15.75" customHeight="1" x14ac:dyDescent="0.2"/>
    <row r="2803" ht="15.75" customHeight="1" x14ac:dyDescent="0.2"/>
    <row r="2804" ht="15.75" customHeight="1" x14ac:dyDescent="0.2"/>
    <row r="2805" ht="15.75" customHeight="1" x14ac:dyDescent="0.2"/>
    <row r="2806" ht="15.75" customHeight="1" x14ac:dyDescent="0.2"/>
    <row r="2807" ht="15.75" customHeight="1" x14ac:dyDescent="0.2"/>
    <row r="2808" ht="15.75" customHeight="1" x14ac:dyDescent="0.2"/>
    <row r="2809" ht="15.75" customHeight="1" x14ac:dyDescent="0.2"/>
    <row r="2810" ht="15.75" customHeight="1" x14ac:dyDescent="0.2"/>
    <row r="2811" ht="15.75" customHeight="1" x14ac:dyDescent="0.2"/>
    <row r="2812" ht="15.75" customHeight="1" x14ac:dyDescent="0.2"/>
    <row r="2813" ht="15.75" customHeight="1" x14ac:dyDescent="0.2"/>
    <row r="2814" ht="15.75" customHeight="1" x14ac:dyDescent="0.2"/>
    <row r="2815" ht="15.75" customHeight="1" x14ac:dyDescent="0.2"/>
    <row r="2816" ht="15.75" customHeight="1" x14ac:dyDescent="0.2"/>
    <row r="2817" ht="15.75" customHeight="1" x14ac:dyDescent="0.2"/>
    <row r="2818" ht="15.75" customHeight="1" x14ac:dyDescent="0.2"/>
    <row r="2819" ht="15.75" customHeight="1" x14ac:dyDescent="0.2"/>
    <row r="2820" ht="15.75" customHeight="1" x14ac:dyDescent="0.2"/>
    <row r="2821" ht="15.75" customHeight="1" x14ac:dyDescent="0.2"/>
    <row r="2822" ht="15.75" customHeight="1" x14ac:dyDescent="0.2"/>
    <row r="2823" ht="15.75" customHeight="1" x14ac:dyDescent="0.2"/>
    <row r="2824" ht="15.75" customHeight="1" x14ac:dyDescent="0.2"/>
    <row r="2825" ht="15.75" customHeight="1" x14ac:dyDescent="0.2"/>
    <row r="2826" ht="15.75" customHeight="1" x14ac:dyDescent="0.2"/>
    <row r="2827" ht="15.75" customHeight="1" x14ac:dyDescent="0.2"/>
    <row r="2828" ht="15.75" customHeight="1" x14ac:dyDescent="0.2"/>
    <row r="2829" ht="15.75" customHeight="1" x14ac:dyDescent="0.2"/>
    <row r="2830" ht="15.75" customHeight="1" x14ac:dyDescent="0.2"/>
    <row r="2831" ht="15.75" customHeight="1" x14ac:dyDescent="0.2"/>
    <row r="2832" ht="15.75" customHeight="1" x14ac:dyDescent="0.2"/>
    <row r="2833" ht="15.75" customHeight="1" x14ac:dyDescent="0.2"/>
    <row r="2834" ht="15.75" customHeight="1" x14ac:dyDescent="0.2"/>
    <row r="2835" ht="15.75" customHeight="1" x14ac:dyDescent="0.2"/>
    <row r="2836" ht="15.75" customHeight="1" x14ac:dyDescent="0.2"/>
    <row r="2837" ht="15.75" customHeight="1" x14ac:dyDescent="0.2"/>
    <row r="2838" ht="15.75" customHeight="1" x14ac:dyDescent="0.2"/>
    <row r="2839" ht="15.75" customHeight="1" x14ac:dyDescent="0.2"/>
    <row r="2840" ht="15.75" customHeight="1" x14ac:dyDescent="0.2"/>
    <row r="2841" ht="15.75" customHeight="1" x14ac:dyDescent="0.2"/>
    <row r="2842" ht="15.75" customHeight="1" x14ac:dyDescent="0.2"/>
    <row r="2843" ht="15.75" customHeight="1" x14ac:dyDescent="0.2"/>
    <row r="2844" ht="15.75" customHeight="1" x14ac:dyDescent="0.2"/>
    <row r="2845" ht="15.75" customHeight="1" x14ac:dyDescent="0.2"/>
    <row r="2846" ht="15.75" customHeight="1" x14ac:dyDescent="0.2"/>
    <row r="2847" ht="15.75" customHeight="1" x14ac:dyDescent="0.2"/>
    <row r="2848" ht="15.75" customHeight="1" x14ac:dyDescent="0.2"/>
    <row r="2849" ht="15.75" customHeight="1" x14ac:dyDescent="0.2"/>
    <row r="2850" ht="15.75" customHeight="1" x14ac:dyDescent="0.2"/>
    <row r="2851" ht="15.75" customHeight="1" x14ac:dyDescent="0.2"/>
    <row r="2852" ht="15.75" customHeight="1" x14ac:dyDescent="0.2"/>
    <row r="2853" ht="15.75" customHeight="1" x14ac:dyDescent="0.2"/>
    <row r="2854" ht="15.75" customHeight="1" x14ac:dyDescent="0.2"/>
    <row r="2855" ht="15.75" customHeight="1" x14ac:dyDescent="0.2"/>
    <row r="2856" ht="15.75" customHeight="1" x14ac:dyDescent="0.2"/>
    <row r="2857" ht="15.75" customHeight="1" x14ac:dyDescent="0.2"/>
    <row r="2858" ht="15.75" customHeight="1" x14ac:dyDescent="0.2"/>
    <row r="2859" ht="15.75" customHeight="1" x14ac:dyDescent="0.2"/>
    <row r="2860" ht="15.75" customHeight="1" x14ac:dyDescent="0.2"/>
    <row r="2861" ht="15.75" customHeight="1" x14ac:dyDescent="0.2"/>
    <row r="2862" ht="15.75" customHeight="1" x14ac:dyDescent="0.2"/>
    <row r="2863" ht="15.75" customHeight="1" x14ac:dyDescent="0.2"/>
    <row r="2864" ht="15.75" customHeight="1" x14ac:dyDescent="0.2"/>
    <row r="2865" ht="15.75" customHeight="1" x14ac:dyDescent="0.2"/>
    <row r="2866" ht="15.75" customHeight="1" x14ac:dyDescent="0.2"/>
    <row r="2867" ht="15.75" customHeight="1" x14ac:dyDescent="0.2"/>
    <row r="2868" ht="15.75" customHeight="1" x14ac:dyDescent="0.2"/>
    <row r="2869" ht="15.75" customHeight="1" x14ac:dyDescent="0.2"/>
    <row r="2870" ht="15.75" customHeight="1" x14ac:dyDescent="0.2"/>
    <row r="2871" ht="15.75" customHeight="1" x14ac:dyDescent="0.2"/>
    <row r="2872" ht="15.75" customHeight="1" x14ac:dyDescent="0.2"/>
    <row r="2873" ht="15.75" customHeight="1" x14ac:dyDescent="0.2"/>
    <row r="2874" ht="15.75" customHeight="1" x14ac:dyDescent="0.2"/>
    <row r="2875" ht="15.75" customHeight="1" x14ac:dyDescent="0.2"/>
    <row r="2876" ht="15.75" customHeight="1" x14ac:dyDescent="0.2"/>
    <row r="2877" ht="15.75" customHeight="1" x14ac:dyDescent="0.2"/>
    <row r="2878" ht="15.75" customHeight="1" x14ac:dyDescent="0.2"/>
    <row r="2879" ht="15.75" customHeight="1" x14ac:dyDescent="0.2"/>
    <row r="2880" ht="15.75" customHeight="1" x14ac:dyDescent="0.2"/>
    <row r="2881" ht="15.75" customHeight="1" x14ac:dyDescent="0.2"/>
    <row r="2882" ht="15.75" customHeight="1" x14ac:dyDescent="0.2"/>
    <row r="2883" ht="15.75" customHeight="1" x14ac:dyDescent="0.2"/>
    <row r="2884" ht="15.75" customHeight="1" x14ac:dyDescent="0.2"/>
    <row r="2885" ht="15.75" customHeight="1" x14ac:dyDescent="0.2"/>
    <row r="2886" ht="15.75" customHeight="1" x14ac:dyDescent="0.2"/>
    <row r="2887" ht="15.75" customHeight="1" x14ac:dyDescent="0.2"/>
    <row r="2888" ht="15.75" customHeight="1" x14ac:dyDescent="0.2"/>
    <row r="2889" ht="15.75" customHeight="1" x14ac:dyDescent="0.2"/>
    <row r="2890" ht="15.75" customHeight="1" x14ac:dyDescent="0.2"/>
    <row r="2891" ht="15.75" customHeight="1" x14ac:dyDescent="0.2"/>
    <row r="2892" ht="15.75" customHeight="1" x14ac:dyDescent="0.2"/>
    <row r="2893" ht="15.75" customHeight="1" x14ac:dyDescent="0.2"/>
    <row r="2894" ht="15.75" customHeight="1" x14ac:dyDescent="0.2"/>
    <row r="2895" ht="15.75" customHeight="1" x14ac:dyDescent="0.2"/>
    <row r="2896" ht="15.75" customHeight="1" x14ac:dyDescent="0.2"/>
    <row r="2897" ht="15.75" customHeight="1" x14ac:dyDescent="0.2"/>
    <row r="2898" ht="15.75" customHeight="1" x14ac:dyDescent="0.2"/>
    <row r="2899" ht="15.75" customHeight="1" x14ac:dyDescent="0.2"/>
    <row r="2900" ht="15.75" customHeight="1" x14ac:dyDescent="0.2"/>
    <row r="2901" ht="15.75" customHeight="1" x14ac:dyDescent="0.2"/>
    <row r="2902" ht="15.75" customHeight="1" x14ac:dyDescent="0.2"/>
    <row r="2903" ht="15.75" customHeight="1" x14ac:dyDescent="0.2"/>
    <row r="2904" ht="15.75" customHeight="1" x14ac:dyDescent="0.2"/>
    <row r="2905" ht="15.75" customHeight="1" x14ac:dyDescent="0.2"/>
    <row r="2906" ht="15.75" customHeight="1" x14ac:dyDescent="0.2"/>
    <row r="2907" ht="15.75" customHeight="1" x14ac:dyDescent="0.2"/>
    <row r="2908" ht="15.75" customHeight="1" x14ac:dyDescent="0.2"/>
    <row r="2909" ht="15.75" customHeight="1" x14ac:dyDescent="0.2"/>
    <row r="2910" ht="15.75" customHeight="1" x14ac:dyDescent="0.2"/>
    <row r="2911" ht="15.75" customHeight="1" x14ac:dyDescent="0.2"/>
    <row r="2912" ht="15.75" customHeight="1" x14ac:dyDescent="0.2"/>
    <row r="2913" ht="15.75" customHeight="1" x14ac:dyDescent="0.2"/>
    <row r="2914" ht="15.75" customHeight="1" x14ac:dyDescent="0.2"/>
    <row r="2915" ht="15.75" customHeight="1" x14ac:dyDescent="0.2"/>
    <row r="2916" ht="15.75" customHeight="1" x14ac:dyDescent="0.2"/>
    <row r="2917" ht="15.75" customHeight="1" x14ac:dyDescent="0.2"/>
    <row r="2918" ht="15.75" customHeight="1" x14ac:dyDescent="0.2"/>
    <row r="2919" ht="15.75" customHeight="1" x14ac:dyDescent="0.2"/>
    <row r="2920" ht="15.75" customHeight="1" x14ac:dyDescent="0.2"/>
    <row r="2921" ht="15.75" customHeight="1" x14ac:dyDescent="0.2"/>
    <row r="2922" ht="15.75" customHeight="1" x14ac:dyDescent="0.2"/>
    <row r="2923" ht="15.75" customHeight="1" x14ac:dyDescent="0.2"/>
    <row r="2924" ht="15.75" customHeight="1" x14ac:dyDescent="0.2"/>
    <row r="2925" ht="15.75" customHeight="1" x14ac:dyDescent="0.2"/>
    <row r="2926" ht="15.75" customHeight="1" x14ac:dyDescent="0.2"/>
    <row r="2927" ht="15.75" customHeight="1" x14ac:dyDescent="0.2"/>
    <row r="2928" ht="15.75" customHeight="1" x14ac:dyDescent="0.2"/>
    <row r="2929" ht="15.75" customHeight="1" x14ac:dyDescent="0.2"/>
    <row r="2930" ht="15.75" customHeight="1" x14ac:dyDescent="0.2"/>
    <row r="2931" ht="15.75" customHeight="1" x14ac:dyDescent="0.2"/>
    <row r="2932" ht="15.75" customHeight="1" x14ac:dyDescent="0.2"/>
    <row r="2933" ht="15.75" customHeight="1" x14ac:dyDescent="0.2"/>
    <row r="2934" ht="15.75" customHeight="1" x14ac:dyDescent="0.2"/>
    <row r="2935" ht="15.75" customHeight="1" x14ac:dyDescent="0.2"/>
    <row r="2936" ht="15.75" customHeight="1" x14ac:dyDescent="0.2"/>
    <row r="2937" ht="15.75" customHeight="1" x14ac:dyDescent="0.2"/>
    <row r="2938" ht="15.75" customHeight="1" x14ac:dyDescent="0.2"/>
    <row r="2939" ht="15.75" customHeight="1" x14ac:dyDescent="0.2"/>
    <row r="2940" ht="15.75" customHeight="1" x14ac:dyDescent="0.2"/>
    <row r="2941" ht="15.75" customHeight="1" x14ac:dyDescent="0.2"/>
    <row r="2942" ht="15.75" customHeight="1" x14ac:dyDescent="0.2"/>
    <row r="2943" ht="15.75" customHeight="1" x14ac:dyDescent="0.2"/>
    <row r="2944" ht="15.75" customHeight="1" x14ac:dyDescent="0.2"/>
    <row r="2945" ht="15.75" customHeight="1" x14ac:dyDescent="0.2"/>
    <row r="2946" ht="15.75" customHeight="1" x14ac:dyDescent="0.2"/>
    <row r="2947" ht="15.75" customHeight="1" x14ac:dyDescent="0.2"/>
    <row r="2948" ht="15.75" customHeight="1" x14ac:dyDescent="0.2"/>
    <row r="2949" ht="15.75" customHeight="1" x14ac:dyDescent="0.2"/>
    <row r="2950" ht="15.75" customHeight="1" x14ac:dyDescent="0.2"/>
    <row r="2951" ht="15.75" customHeight="1" x14ac:dyDescent="0.2"/>
    <row r="2952" ht="15.75" customHeight="1" x14ac:dyDescent="0.2"/>
    <row r="2953" ht="15.75" customHeight="1" x14ac:dyDescent="0.2"/>
    <row r="2954" ht="15.75" customHeight="1" x14ac:dyDescent="0.2"/>
    <row r="2955" ht="15.75" customHeight="1" x14ac:dyDescent="0.2"/>
    <row r="2956" ht="15.75" customHeight="1" x14ac:dyDescent="0.2"/>
    <row r="2957" ht="15.75" customHeight="1" x14ac:dyDescent="0.2"/>
    <row r="2958" ht="15.75" customHeight="1" x14ac:dyDescent="0.2"/>
    <row r="2959" ht="15.75" customHeight="1" x14ac:dyDescent="0.2"/>
    <row r="2960" ht="15.75" customHeight="1" x14ac:dyDescent="0.2"/>
    <row r="2961" ht="15.75" customHeight="1" x14ac:dyDescent="0.2"/>
    <row r="2962" ht="15.75" customHeight="1" x14ac:dyDescent="0.2"/>
    <row r="2963" ht="15.75" customHeight="1" x14ac:dyDescent="0.2"/>
    <row r="2964" ht="15.75" customHeight="1" x14ac:dyDescent="0.2"/>
    <row r="2965" ht="15.75" customHeight="1" x14ac:dyDescent="0.2"/>
    <row r="2966" ht="15.75" customHeight="1" x14ac:dyDescent="0.2"/>
    <row r="2967" ht="15.75" customHeight="1" x14ac:dyDescent="0.2"/>
    <row r="2968" ht="15.75" customHeight="1" x14ac:dyDescent="0.2"/>
    <row r="2969" ht="15.75" customHeight="1" x14ac:dyDescent="0.2"/>
    <row r="2970" ht="15.75" customHeight="1" x14ac:dyDescent="0.2"/>
    <row r="2971" ht="15.75" customHeight="1" x14ac:dyDescent="0.2"/>
    <row r="2972" ht="15.75" customHeight="1" x14ac:dyDescent="0.2"/>
    <row r="2973" ht="15.75" customHeight="1" x14ac:dyDescent="0.2"/>
    <row r="2974" ht="15.75" customHeight="1" x14ac:dyDescent="0.2"/>
    <row r="2975" ht="15.75" customHeight="1" x14ac:dyDescent="0.2"/>
    <row r="2976" ht="15.75" customHeight="1" x14ac:dyDescent="0.2"/>
    <row r="2977" ht="15.75" customHeight="1" x14ac:dyDescent="0.2"/>
    <row r="2978" ht="15.75" customHeight="1" x14ac:dyDescent="0.2"/>
    <row r="2979" ht="15.75" customHeight="1" x14ac:dyDescent="0.2"/>
    <row r="2980" ht="15.75" customHeight="1" x14ac:dyDescent="0.2"/>
    <row r="2981" ht="15.75" customHeight="1" x14ac:dyDescent="0.2"/>
    <row r="2982" ht="15.75" customHeight="1" x14ac:dyDescent="0.2"/>
    <row r="2983" ht="15.75" customHeight="1" x14ac:dyDescent="0.2"/>
    <row r="2984" ht="15.75" customHeight="1" x14ac:dyDescent="0.2"/>
    <row r="2985" ht="15.75" customHeight="1" x14ac:dyDescent="0.2"/>
    <row r="2986" ht="15.75" customHeight="1" x14ac:dyDescent="0.2"/>
    <row r="2987" ht="15.75" customHeight="1" x14ac:dyDescent="0.2"/>
    <row r="2988" ht="15.75" customHeight="1" x14ac:dyDescent="0.2"/>
    <row r="2989" ht="15.75" customHeight="1" x14ac:dyDescent="0.2"/>
    <row r="2990" ht="15.75" customHeight="1" x14ac:dyDescent="0.2"/>
    <row r="2991" ht="15.75" customHeight="1" x14ac:dyDescent="0.2"/>
    <row r="2992" ht="15.75" customHeight="1" x14ac:dyDescent="0.2"/>
    <row r="2993" ht="15.75" customHeight="1" x14ac:dyDescent="0.2"/>
    <row r="2994" ht="15.75" customHeight="1" x14ac:dyDescent="0.2"/>
    <row r="2995" ht="15.75" customHeight="1" x14ac:dyDescent="0.2"/>
    <row r="2996" ht="15.75" customHeight="1" x14ac:dyDescent="0.2"/>
    <row r="2997" ht="15.75" customHeight="1" x14ac:dyDescent="0.2"/>
    <row r="2998" ht="15.75" customHeight="1" x14ac:dyDescent="0.2"/>
    <row r="2999" ht="15.75" customHeight="1" x14ac:dyDescent="0.2"/>
    <row r="3000" ht="15.75" customHeight="1" x14ac:dyDescent="0.2"/>
    <row r="3001" ht="15.75" customHeight="1" x14ac:dyDescent="0.2"/>
    <row r="3002" ht="15.75" customHeight="1" x14ac:dyDescent="0.2"/>
    <row r="3003" ht="15.75" customHeight="1" x14ac:dyDescent="0.2"/>
    <row r="3004" ht="15.75" customHeight="1" x14ac:dyDescent="0.2"/>
    <row r="3005" ht="15.75" customHeight="1" x14ac:dyDescent="0.2"/>
    <row r="3006" ht="15.75" customHeight="1" x14ac:dyDescent="0.2"/>
    <row r="3007" ht="15.75" customHeight="1" x14ac:dyDescent="0.2"/>
    <row r="3008" ht="15.75" customHeight="1" x14ac:dyDescent="0.2"/>
    <row r="3009" ht="15.75" customHeight="1" x14ac:dyDescent="0.2"/>
    <row r="3010" ht="15.75" customHeight="1" x14ac:dyDescent="0.2"/>
    <row r="3011" ht="15.75" customHeight="1" x14ac:dyDescent="0.2"/>
    <row r="3012" ht="15.75" customHeight="1" x14ac:dyDescent="0.2"/>
    <row r="3013" ht="15.75" customHeight="1" x14ac:dyDescent="0.2"/>
    <row r="3014" ht="15.75" customHeight="1" x14ac:dyDescent="0.2"/>
    <row r="3015" ht="15.75" customHeight="1" x14ac:dyDescent="0.2"/>
    <row r="3016" ht="15.75" customHeight="1" x14ac:dyDescent="0.2"/>
    <row r="3017" ht="15.75" customHeight="1" x14ac:dyDescent="0.2"/>
    <row r="3018" ht="15.75" customHeight="1" x14ac:dyDescent="0.2"/>
    <row r="3019" ht="15.75" customHeight="1" x14ac:dyDescent="0.2"/>
    <row r="3020" ht="15.75" customHeight="1" x14ac:dyDescent="0.2"/>
    <row r="3021" ht="15.75" customHeight="1" x14ac:dyDescent="0.2"/>
    <row r="3022" ht="15.75" customHeight="1" x14ac:dyDescent="0.2"/>
    <row r="3023" ht="15.75" customHeight="1" x14ac:dyDescent="0.2"/>
    <row r="3024" ht="15.75" customHeight="1" x14ac:dyDescent="0.2"/>
    <row r="3025" ht="15.75" customHeight="1" x14ac:dyDescent="0.2"/>
    <row r="3026" ht="15.75" customHeight="1" x14ac:dyDescent="0.2"/>
    <row r="3027" ht="15.75" customHeight="1" x14ac:dyDescent="0.2"/>
    <row r="3028" ht="15.75" customHeight="1" x14ac:dyDescent="0.2"/>
    <row r="3029" ht="15.75" customHeight="1" x14ac:dyDescent="0.2"/>
    <row r="3030" ht="15.75" customHeight="1" x14ac:dyDescent="0.2"/>
    <row r="3031" ht="15.75" customHeight="1" x14ac:dyDescent="0.2"/>
    <row r="3032" ht="15.75" customHeight="1" x14ac:dyDescent="0.2"/>
    <row r="3033" ht="15.75" customHeight="1" x14ac:dyDescent="0.2"/>
    <row r="3034" ht="15.75" customHeight="1" x14ac:dyDescent="0.2"/>
    <row r="3035" ht="15.75" customHeight="1" x14ac:dyDescent="0.2"/>
    <row r="3036" ht="15.75" customHeight="1" x14ac:dyDescent="0.2"/>
    <row r="3037" ht="15.75" customHeight="1" x14ac:dyDescent="0.2"/>
    <row r="3038" ht="15.75" customHeight="1" x14ac:dyDescent="0.2"/>
    <row r="3039" ht="15.75" customHeight="1" x14ac:dyDescent="0.2"/>
    <row r="3040" ht="15.75" customHeight="1" x14ac:dyDescent="0.2"/>
    <row r="3041" ht="15.75" customHeight="1" x14ac:dyDescent="0.2"/>
    <row r="3042" ht="15.75" customHeight="1" x14ac:dyDescent="0.2"/>
    <row r="3043" ht="15.75" customHeight="1" x14ac:dyDescent="0.2"/>
    <row r="3044" ht="15.75" customHeight="1" x14ac:dyDescent="0.2"/>
    <row r="3045" ht="15.75" customHeight="1" x14ac:dyDescent="0.2"/>
    <row r="3046" ht="15.75" customHeight="1" x14ac:dyDescent="0.2"/>
    <row r="3047" ht="15.75" customHeight="1" x14ac:dyDescent="0.2"/>
    <row r="3048" ht="15.75" customHeight="1" x14ac:dyDescent="0.2"/>
    <row r="3049" ht="15.75" customHeight="1" x14ac:dyDescent="0.2"/>
    <row r="3050" ht="15.75" customHeight="1" x14ac:dyDescent="0.2"/>
    <row r="3051" ht="15.75" customHeight="1" x14ac:dyDescent="0.2"/>
    <row r="3052" ht="15.75" customHeight="1" x14ac:dyDescent="0.2"/>
    <row r="3053" ht="15.75" customHeight="1" x14ac:dyDescent="0.2"/>
    <row r="3054" ht="15.75" customHeight="1" x14ac:dyDescent="0.2"/>
    <row r="3055" ht="15.75" customHeight="1" x14ac:dyDescent="0.2"/>
    <row r="3056" ht="15.75" customHeight="1" x14ac:dyDescent="0.2"/>
    <row r="3057" ht="15.75" customHeight="1" x14ac:dyDescent="0.2"/>
    <row r="3058" ht="15.75" customHeight="1" x14ac:dyDescent="0.2"/>
    <row r="3059" ht="15.75" customHeight="1" x14ac:dyDescent="0.2"/>
    <row r="3060" ht="15.75" customHeight="1" x14ac:dyDescent="0.2"/>
    <row r="3061" ht="15.75" customHeight="1" x14ac:dyDescent="0.2"/>
    <row r="3062" ht="15.75" customHeight="1" x14ac:dyDescent="0.2"/>
    <row r="3063" ht="15.75" customHeight="1" x14ac:dyDescent="0.2"/>
    <row r="3064" ht="15.75" customHeight="1" x14ac:dyDescent="0.2"/>
    <row r="3065" ht="15.75" customHeight="1" x14ac:dyDescent="0.2"/>
    <row r="3066" ht="15.75" customHeight="1" x14ac:dyDescent="0.2"/>
    <row r="3067" ht="15.75" customHeight="1" x14ac:dyDescent="0.2"/>
    <row r="3068" ht="15.75" customHeight="1" x14ac:dyDescent="0.2"/>
    <row r="3069" ht="15.75" customHeight="1" x14ac:dyDescent="0.2"/>
    <row r="3070" ht="15.75" customHeight="1" x14ac:dyDescent="0.2"/>
    <row r="3071" ht="15.75" customHeight="1" x14ac:dyDescent="0.2"/>
    <row r="3072" ht="15.75" customHeight="1" x14ac:dyDescent="0.2"/>
    <row r="3073" ht="15.75" customHeight="1" x14ac:dyDescent="0.2"/>
    <row r="3074" ht="15.75" customHeight="1" x14ac:dyDescent="0.2"/>
    <row r="3075" ht="15.75" customHeight="1" x14ac:dyDescent="0.2"/>
    <row r="3076" ht="15.75" customHeight="1" x14ac:dyDescent="0.2"/>
    <row r="3077" ht="15.75" customHeight="1" x14ac:dyDescent="0.2"/>
    <row r="3078" ht="15.75" customHeight="1" x14ac:dyDescent="0.2"/>
    <row r="3079" ht="15.75" customHeight="1" x14ac:dyDescent="0.2"/>
    <row r="3080" ht="15.75" customHeight="1" x14ac:dyDescent="0.2"/>
    <row r="3081" ht="15.75" customHeight="1" x14ac:dyDescent="0.2"/>
    <row r="3082" ht="15.75" customHeight="1" x14ac:dyDescent="0.2"/>
    <row r="3083" ht="15.75" customHeight="1" x14ac:dyDescent="0.2"/>
    <row r="3084" ht="15.75" customHeight="1" x14ac:dyDescent="0.2"/>
    <row r="3085" ht="15.75" customHeight="1" x14ac:dyDescent="0.2"/>
    <row r="3086" ht="15.75" customHeight="1" x14ac:dyDescent="0.2"/>
    <row r="3087" ht="15.75" customHeight="1" x14ac:dyDescent="0.2"/>
    <row r="3088" ht="15.75" customHeight="1" x14ac:dyDescent="0.2"/>
    <row r="3089" ht="15.75" customHeight="1" x14ac:dyDescent="0.2"/>
    <row r="3090" ht="15.75" customHeight="1" x14ac:dyDescent="0.2"/>
    <row r="3091" ht="15.75" customHeight="1" x14ac:dyDescent="0.2"/>
    <row r="3092" ht="15.75" customHeight="1" x14ac:dyDescent="0.2"/>
    <row r="3093" ht="15.75" customHeight="1" x14ac:dyDescent="0.2"/>
    <row r="3094" ht="15.75" customHeight="1" x14ac:dyDescent="0.2"/>
    <row r="3095" ht="15.75" customHeight="1" x14ac:dyDescent="0.2"/>
    <row r="3096" ht="15.75" customHeight="1" x14ac:dyDescent="0.2"/>
    <row r="3097" ht="15.75" customHeight="1" x14ac:dyDescent="0.2"/>
    <row r="3098" ht="15.75" customHeight="1" x14ac:dyDescent="0.2"/>
    <row r="3099" ht="15.75" customHeight="1" x14ac:dyDescent="0.2"/>
    <row r="3100" ht="15.75" customHeight="1" x14ac:dyDescent="0.2"/>
    <row r="3101" ht="15.75" customHeight="1" x14ac:dyDescent="0.2"/>
    <row r="3102" ht="15.75" customHeight="1" x14ac:dyDescent="0.2"/>
    <row r="3103" ht="15.75" customHeight="1" x14ac:dyDescent="0.2"/>
    <row r="3104" ht="15.75" customHeight="1" x14ac:dyDescent="0.2"/>
    <row r="3105" ht="15.75" customHeight="1" x14ac:dyDescent="0.2"/>
    <row r="3106" ht="15.75" customHeight="1" x14ac:dyDescent="0.2"/>
    <row r="3107" ht="15.75" customHeight="1" x14ac:dyDescent="0.2"/>
    <row r="3108" ht="15.75" customHeight="1" x14ac:dyDescent="0.2"/>
    <row r="3109" ht="15.75" customHeight="1" x14ac:dyDescent="0.2"/>
    <row r="3110" ht="15.75" customHeight="1" x14ac:dyDescent="0.2"/>
    <row r="3111" ht="15.75" customHeight="1" x14ac:dyDescent="0.2"/>
    <row r="3112" ht="15.75" customHeight="1" x14ac:dyDescent="0.2"/>
    <row r="3113" ht="15.75" customHeight="1" x14ac:dyDescent="0.2"/>
    <row r="3114" ht="15.75" customHeight="1" x14ac:dyDescent="0.2"/>
    <row r="3115" ht="15.75" customHeight="1" x14ac:dyDescent="0.2"/>
    <row r="3116" ht="15.75" customHeight="1" x14ac:dyDescent="0.2"/>
    <row r="3117" ht="15.75" customHeight="1" x14ac:dyDescent="0.2"/>
    <row r="3118" ht="15.75" customHeight="1" x14ac:dyDescent="0.2"/>
    <row r="3119" ht="15.75" customHeight="1" x14ac:dyDescent="0.2"/>
    <row r="3120" ht="15.75" customHeight="1" x14ac:dyDescent="0.2"/>
    <row r="3121" ht="15.75" customHeight="1" x14ac:dyDescent="0.2"/>
    <row r="3122" ht="15.75" customHeight="1" x14ac:dyDescent="0.2"/>
    <row r="3123" ht="15.75" customHeight="1" x14ac:dyDescent="0.2"/>
    <row r="3124" ht="15.75" customHeight="1" x14ac:dyDescent="0.2"/>
    <row r="3125" ht="15.75" customHeight="1" x14ac:dyDescent="0.2"/>
    <row r="3126" ht="15.75" customHeight="1" x14ac:dyDescent="0.2"/>
    <row r="3127" ht="15.75" customHeight="1" x14ac:dyDescent="0.2"/>
    <row r="3128" ht="15.75" customHeight="1" x14ac:dyDescent="0.2"/>
    <row r="3129" ht="15.75" customHeight="1" x14ac:dyDescent="0.2"/>
    <row r="3130" ht="15.75" customHeight="1" x14ac:dyDescent="0.2"/>
    <row r="3131" ht="15.75" customHeight="1" x14ac:dyDescent="0.2"/>
    <row r="3132" ht="15.75" customHeight="1" x14ac:dyDescent="0.2"/>
    <row r="3133" ht="15.75" customHeight="1" x14ac:dyDescent="0.2"/>
    <row r="3134" ht="15.75" customHeight="1" x14ac:dyDescent="0.2"/>
    <row r="3135" ht="15.75" customHeight="1" x14ac:dyDescent="0.2"/>
    <row r="3136" ht="15.75" customHeight="1" x14ac:dyDescent="0.2"/>
    <row r="3137" ht="15.75" customHeight="1" x14ac:dyDescent="0.2"/>
    <row r="3138" ht="15.75" customHeight="1" x14ac:dyDescent="0.2"/>
    <row r="3139" ht="15.75" customHeight="1" x14ac:dyDescent="0.2"/>
    <row r="3140" ht="15.75" customHeight="1" x14ac:dyDescent="0.2"/>
    <row r="3141" ht="15.75" customHeight="1" x14ac:dyDescent="0.2"/>
    <row r="3142" ht="15.75" customHeight="1" x14ac:dyDescent="0.2"/>
    <row r="3143" ht="15.75" customHeight="1" x14ac:dyDescent="0.2"/>
    <row r="3144" ht="15.75" customHeight="1" x14ac:dyDescent="0.2"/>
    <row r="3145" ht="15.75" customHeight="1" x14ac:dyDescent="0.2"/>
    <row r="3146" ht="15.75" customHeight="1" x14ac:dyDescent="0.2"/>
    <row r="3147" ht="15.75" customHeight="1" x14ac:dyDescent="0.2"/>
    <row r="3148" ht="15.75" customHeight="1" x14ac:dyDescent="0.2"/>
    <row r="3149" ht="15.75" customHeight="1" x14ac:dyDescent="0.2"/>
    <row r="3150" ht="15.75" customHeight="1" x14ac:dyDescent="0.2"/>
    <row r="3151" ht="15.75" customHeight="1" x14ac:dyDescent="0.2"/>
    <row r="3152" ht="15.75" customHeight="1" x14ac:dyDescent="0.2"/>
    <row r="3153" ht="15.75" customHeight="1" x14ac:dyDescent="0.2"/>
    <row r="3154" ht="15.75" customHeight="1" x14ac:dyDescent="0.2"/>
    <row r="3155" ht="15.75" customHeight="1" x14ac:dyDescent="0.2"/>
    <row r="3156" ht="15.75" customHeight="1" x14ac:dyDescent="0.2"/>
    <row r="3157" ht="15.75" customHeight="1" x14ac:dyDescent="0.2"/>
    <row r="3158" ht="15.75" customHeight="1" x14ac:dyDescent="0.2"/>
    <row r="3159" ht="15.75" customHeight="1" x14ac:dyDescent="0.2"/>
    <row r="3160" ht="15.75" customHeight="1" x14ac:dyDescent="0.2"/>
    <row r="3161" ht="15.75" customHeight="1" x14ac:dyDescent="0.2"/>
    <row r="3162" ht="15.75" customHeight="1" x14ac:dyDescent="0.2"/>
    <row r="3163" ht="15.75" customHeight="1" x14ac:dyDescent="0.2"/>
    <row r="3164" ht="15.75" customHeight="1" x14ac:dyDescent="0.2"/>
    <row r="3165" ht="15.75" customHeight="1" x14ac:dyDescent="0.2"/>
    <row r="3166" ht="15.75" customHeight="1" x14ac:dyDescent="0.2"/>
    <row r="3167" ht="15.75" customHeight="1" x14ac:dyDescent="0.2"/>
    <row r="3168" ht="15.75" customHeight="1" x14ac:dyDescent="0.2"/>
    <row r="3169" ht="15.75" customHeight="1" x14ac:dyDescent="0.2"/>
    <row r="3170" ht="15.75" customHeight="1" x14ac:dyDescent="0.2"/>
    <row r="3171" ht="15.75" customHeight="1" x14ac:dyDescent="0.2"/>
    <row r="3172" ht="15.75" customHeight="1" x14ac:dyDescent="0.2"/>
    <row r="3173" ht="15.75" customHeight="1" x14ac:dyDescent="0.2"/>
    <row r="3174" ht="15.75" customHeight="1" x14ac:dyDescent="0.2"/>
    <row r="3175" ht="15.75" customHeight="1" x14ac:dyDescent="0.2"/>
    <row r="3176" ht="15.75" customHeight="1" x14ac:dyDescent="0.2"/>
    <row r="3177" ht="15.75" customHeight="1" x14ac:dyDescent="0.2"/>
    <row r="3178" ht="15.75" customHeight="1" x14ac:dyDescent="0.2"/>
    <row r="3179" ht="15.75" customHeight="1" x14ac:dyDescent="0.2"/>
    <row r="3180" ht="15.75" customHeight="1" x14ac:dyDescent="0.2"/>
    <row r="3181" ht="15.75" customHeight="1" x14ac:dyDescent="0.2"/>
    <row r="3182" ht="15.75" customHeight="1" x14ac:dyDescent="0.2"/>
    <row r="3183" ht="15.75" customHeight="1" x14ac:dyDescent="0.2"/>
    <row r="3184" ht="15.75" customHeight="1" x14ac:dyDescent="0.2"/>
    <row r="3185" ht="15.75" customHeight="1" x14ac:dyDescent="0.2"/>
    <row r="3186" ht="15.75" customHeight="1" x14ac:dyDescent="0.2"/>
    <row r="3187" ht="15.75" customHeight="1" x14ac:dyDescent="0.2"/>
    <row r="3188" ht="15.75" customHeight="1" x14ac:dyDescent="0.2"/>
    <row r="3189" ht="15.75" customHeight="1" x14ac:dyDescent="0.2"/>
    <row r="3190" ht="15.75" customHeight="1" x14ac:dyDescent="0.2"/>
    <row r="3191" ht="15.75" customHeight="1" x14ac:dyDescent="0.2"/>
    <row r="3192" ht="15.75" customHeight="1" x14ac:dyDescent="0.2"/>
    <row r="3193" ht="15.75" customHeight="1" x14ac:dyDescent="0.2"/>
    <row r="3194" ht="15.75" customHeight="1" x14ac:dyDescent="0.2"/>
    <row r="3195" ht="15.75" customHeight="1" x14ac:dyDescent="0.2"/>
    <row r="3196" ht="15.75" customHeight="1" x14ac:dyDescent="0.2"/>
    <row r="3197" ht="15.75" customHeight="1" x14ac:dyDescent="0.2"/>
    <row r="3198" ht="15.75" customHeight="1" x14ac:dyDescent="0.2"/>
    <row r="3199" ht="15.75" customHeight="1" x14ac:dyDescent="0.2"/>
    <row r="3200" ht="15.75" customHeight="1" x14ac:dyDescent="0.2"/>
    <row r="3201" ht="15.75" customHeight="1" x14ac:dyDescent="0.2"/>
    <row r="3202" ht="15.75" customHeight="1" x14ac:dyDescent="0.2"/>
    <row r="3203" ht="15.75" customHeight="1" x14ac:dyDescent="0.2"/>
    <row r="3204" ht="15.75" customHeight="1" x14ac:dyDescent="0.2"/>
    <row r="3205" ht="15.75" customHeight="1" x14ac:dyDescent="0.2"/>
    <row r="3206" ht="15.75" customHeight="1" x14ac:dyDescent="0.2"/>
    <row r="3207" ht="15.75" customHeight="1" x14ac:dyDescent="0.2"/>
    <row r="3208" ht="15.75" customHeight="1" x14ac:dyDescent="0.2"/>
    <row r="3209" ht="15.75" customHeight="1" x14ac:dyDescent="0.2"/>
    <row r="3210" ht="15.75" customHeight="1" x14ac:dyDescent="0.2"/>
    <row r="3211" ht="15.75" customHeight="1" x14ac:dyDescent="0.2"/>
    <row r="3212" ht="15.75" customHeight="1" x14ac:dyDescent="0.2"/>
    <row r="3213" ht="15.75" customHeight="1" x14ac:dyDescent="0.2"/>
    <row r="3214" ht="15.75" customHeight="1" x14ac:dyDescent="0.2"/>
    <row r="3215" ht="15.75" customHeight="1" x14ac:dyDescent="0.2"/>
    <row r="3216" ht="15.75" customHeight="1" x14ac:dyDescent="0.2"/>
    <row r="3217" ht="15.75" customHeight="1" x14ac:dyDescent="0.2"/>
    <row r="3218" ht="15.75" customHeight="1" x14ac:dyDescent="0.2"/>
    <row r="3219" ht="15.75" customHeight="1" x14ac:dyDescent="0.2"/>
    <row r="3220" ht="15.75" customHeight="1" x14ac:dyDescent="0.2"/>
    <row r="3221" ht="15.75" customHeight="1" x14ac:dyDescent="0.2"/>
    <row r="3222" ht="15.75" customHeight="1" x14ac:dyDescent="0.2"/>
    <row r="3223" ht="15.75" customHeight="1" x14ac:dyDescent="0.2"/>
    <row r="3224" ht="15.75" customHeight="1" x14ac:dyDescent="0.2"/>
    <row r="3225" ht="15.75" customHeight="1" x14ac:dyDescent="0.2"/>
    <row r="3226" ht="15.75" customHeight="1" x14ac:dyDescent="0.2"/>
    <row r="3227" ht="15.75" customHeight="1" x14ac:dyDescent="0.2"/>
    <row r="3228" ht="15.75" customHeight="1" x14ac:dyDescent="0.2"/>
    <row r="3229" ht="15.75" customHeight="1" x14ac:dyDescent="0.2"/>
    <row r="3230" ht="15.75" customHeight="1" x14ac:dyDescent="0.2"/>
    <row r="3231" ht="15.75" customHeight="1" x14ac:dyDescent="0.2"/>
    <row r="3232" ht="15.75" customHeight="1" x14ac:dyDescent="0.2"/>
    <row r="3233" ht="15.75" customHeight="1" x14ac:dyDescent="0.2"/>
    <row r="3234" ht="15.75" customHeight="1" x14ac:dyDescent="0.2"/>
    <row r="3235" ht="15.75" customHeight="1" x14ac:dyDescent="0.2"/>
    <row r="3236" ht="15.75" customHeight="1" x14ac:dyDescent="0.2"/>
    <row r="3237" ht="15.75" customHeight="1" x14ac:dyDescent="0.2"/>
    <row r="3238" ht="15.75" customHeight="1" x14ac:dyDescent="0.2"/>
    <row r="3239" ht="15.75" customHeight="1" x14ac:dyDescent="0.2"/>
    <row r="3240" ht="15.75" customHeight="1" x14ac:dyDescent="0.2"/>
    <row r="3241" ht="15.75" customHeight="1" x14ac:dyDescent="0.2"/>
    <row r="3242" ht="15.75" customHeight="1" x14ac:dyDescent="0.2"/>
    <row r="3243" ht="15.75" customHeight="1" x14ac:dyDescent="0.2"/>
    <row r="3244" ht="15.75" customHeight="1" x14ac:dyDescent="0.2"/>
    <row r="3245" ht="15.75" customHeight="1" x14ac:dyDescent="0.2"/>
    <row r="3246" ht="15.75" customHeight="1" x14ac:dyDescent="0.2"/>
    <row r="3247" ht="15.75" customHeight="1" x14ac:dyDescent="0.2"/>
    <row r="3248" ht="15.75" customHeight="1" x14ac:dyDescent="0.2"/>
    <row r="3249" ht="15.75" customHeight="1" x14ac:dyDescent="0.2"/>
    <row r="3250" ht="15.75" customHeight="1" x14ac:dyDescent="0.2"/>
    <row r="3251" ht="15.75" customHeight="1" x14ac:dyDescent="0.2"/>
    <row r="3252" ht="15.75" customHeight="1" x14ac:dyDescent="0.2"/>
    <row r="3253" ht="15.75" customHeight="1" x14ac:dyDescent="0.2"/>
    <row r="3254" ht="15.75" customHeight="1" x14ac:dyDescent="0.2"/>
    <row r="3255" ht="15.75" customHeight="1" x14ac:dyDescent="0.2"/>
    <row r="3256" ht="15.75" customHeight="1" x14ac:dyDescent="0.2"/>
    <row r="3257" ht="15.75" customHeight="1" x14ac:dyDescent="0.2"/>
    <row r="3258" ht="15.75" customHeight="1" x14ac:dyDescent="0.2"/>
    <row r="3259" ht="15.75" customHeight="1" x14ac:dyDescent="0.2"/>
    <row r="3260" ht="15.75" customHeight="1" x14ac:dyDescent="0.2"/>
    <row r="3261" ht="15.75" customHeight="1" x14ac:dyDescent="0.2"/>
    <row r="3262" ht="15.75" customHeight="1" x14ac:dyDescent="0.2"/>
    <row r="3263" ht="15.75" customHeight="1" x14ac:dyDescent="0.2"/>
    <row r="3264" ht="15.75" customHeight="1" x14ac:dyDescent="0.2"/>
    <row r="3265" ht="15.75" customHeight="1" x14ac:dyDescent="0.2"/>
    <row r="3266" ht="15.75" customHeight="1" x14ac:dyDescent="0.2"/>
    <row r="3267" ht="15.75" customHeight="1" x14ac:dyDescent="0.2"/>
    <row r="3268" ht="15.75" customHeight="1" x14ac:dyDescent="0.2"/>
    <row r="3269" ht="15.75" customHeight="1" x14ac:dyDescent="0.2"/>
    <row r="3270" ht="15.75" customHeight="1" x14ac:dyDescent="0.2"/>
    <row r="3271" ht="15.75" customHeight="1" x14ac:dyDescent="0.2"/>
    <row r="3272" ht="15.75" customHeight="1" x14ac:dyDescent="0.2"/>
    <row r="3273" ht="15.75" customHeight="1" x14ac:dyDescent="0.2"/>
    <row r="3274" ht="15.75" customHeight="1" x14ac:dyDescent="0.2"/>
    <row r="3275" ht="15.75" customHeight="1" x14ac:dyDescent="0.2"/>
    <row r="3276" ht="15.75" customHeight="1" x14ac:dyDescent="0.2"/>
    <row r="3277" ht="15.75" customHeight="1" x14ac:dyDescent="0.2"/>
    <row r="3278" ht="15.75" customHeight="1" x14ac:dyDescent="0.2"/>
    <row r="3279" ht="15.75" customHeight="1" x14ac:dyDescent="0.2"/>
    <row r="3280" ht="15.75" customHeight="1" x14ac:dyDescent="0.2"/>
    <row r="3281" ht="15.75" customHeight="1" x14ac:dyDescent="0.2"/>
    <row r="3282" ht="15.75" customHeight="1" x14ac:dyDescent="0.2"/>
    <row r="3283" ht="15.75" customHeight="1" x14ac:dyDescent="0.2"/>
    <row r="3284" ht="15.75" customHeight="1" x14ac:dyDescent="0.2"/>
    <row r="3285" ht="15.75" customHeight="1" x14ac:dyDescent="0.2"/>
    <row r="3286" ht="15.75" customHeight="1" x14ac:dyDescent="0.2"/>
    <row r="3287" ht="15.75" customHeight="1" x14ac:dyDescent="0.2"/>
    <row r="3288" ht="15.75" customHeight="1" x14ac:dyDescent="0.2"/>
    <row r="3289" ht="15.75" customHeight="1" x14ac:dyDescent="0.2"/>
    <row r="3290" ht="15.75" customHeight="1" x14ac:dyDescent="0.2"/>
    <row r="3291" ht="15.75" customHeight="1" x14ac:dyDescent="0.2"/>
    <row r="3292" ht="15.75" customHeight="1" x14ac:dyDescent="0.2"/>
    <row r="3293" ht="15.75" customHeight="1" x14ac:dyDescent="0.2"/>
    <row r="3294" ht="15.75" customHeight="1" x14ac:dyDescent="0.2"/>
    <row r="3295" ht="15.75" customHeight="1" x14ac:dyDescent="0.2"/>
    <row r="3296" ht="15.75" customHeight="1" x14ac:dyDescent="0.2"/>
    <row r="3297" ht="15.75" customHeight="1" x14ac:dyDescent="0.2"/>
    <row r="3298" ht="15.75" customHeight="1" x14ac:dyDescent="0.2"/>
    <row r="3299" ht="15.75" customHeight="1" x14ac:dyDescent="0.2"/>
    <row r="3300" ht="15.75" customHeight="1" x14ac:dyDescent="0.2"/>
    <row r="3301" ht="15.75" customHeight="1" x14ac:dyDescent="0.2"/>
    <row r="3302" ht="15.75" customHeight="1" x14ac:dyDescent="0.2"/>
    <row r="3303" ht="15.75" customHeight="1" x14ac:dyDescent="0.2"/>
    <row r="3304" ht="15.75" customHeight="1" x14ac:dyDescent="0.2"/>
    <row r="3305" ht="15.75" customHeight="1" x14ac:dyDescent="0.2"/>
    <row r="3306" ht="15.75" customHeight="1" x14ac:dyDescent="0.2"/>
    <row r="3307" ht="15.75" customHeight="1" x14ac:dyDescent="0.2"/>
    <row r="3308" ht="15.75" customHeight="1" x14ac:dyDescent="0.2"/>
    <row r="3309" ht="15.75" customHeight="1" x14ac:dyDescent="0.2"/>
    <row r="3310" ht="15.75" customHeight="1" x14ac:dyDescent="0.2"/>
    <row r="3311" ht="15.75" customHeight="1" x14ac:dyDescent="0.2"/>
    <row r="3312" ht="15.75" customHeight="1" x14ac:dyDescent="0.2"/>
    <row r="3313" ht="15.75" customHeight="1" x14ac:dyDescent="0.2"/>
    <row r="3314" ht="15.75" customHeight="1" x14ac:dyDescent="0.2"/>
    <row r="3315" ht="15.75" customHeight="1" x14ac:dyDescent="0.2"/>
    <row r="3316" ht="15.75" customHeight="1" x14ac:dyDescent="0.2"/>
    <row r="3317" ht="15.75" customHeight="1" x14ac:dyDescent="0.2"/>
    <row r="3318" ht="15.75" customHeight="1" x14ac:dyDescent="0.2"/>
    <row r="3319" ht="15.75" customHeight="1" x14ac:dyDescent="0.2"/>
    <row r="3320" ht="15.75" customHeight="1" x14ac:dyDescent="0.2"/>
    <row r="3321" ht="15.75" customHeight="1" x14ac:dyDescent="0.2"/>
    <row r="3322" ht="15.75" customHeight="1" x14ac:dyDescent="0.2"/>
    <row r="3323" ht="15.75" customHeight="1" x14ac:dyDescent="0.2"/>
    <row r="3324" ht="15.75" customHeight="1" x14ac:dyDescent="0.2"/>
    <row r="3325" ht="15.75" customHeight="1" x14ac:dyDescent="0.2"/>
    <row r="3326" ht="15.75" customHeight="1" x14ac:dyDescent="0.2"/>
    <row r="3327" ht="15.75" customHeight="1" x14ac:dyDescent="0.2"/>
    <row r="3328" ht="15.75" customHeight="1" x14ac:dyDescent="0.2"/>
    <row r="3329" ht="15.75" customHeight="1" x14ac:dyDescent="0.2"/>
    <row r="3330" ht="15.75" customHeight="1" x14ac:dyDescent="0.2"/>
    <row r="3331" ht="15.75" customHeight="1" x14ac:dyDescent="0.2"/>
    <row r="3332" ht="15.75" customHeight="1" x14ac:dyDescent="0.2"/>
    <row r="3333" ht="15.75" customHeight="1" x14ac:dyDescent="0.2"/>
    <row r="3334" ht="15.75" customHeight="1" x14ac:dyDescent="0.2"/>
    <row r="3335" ht="15.75" customHeight="1" x14ac:dyDescent="0.2"/>
    <row r="3336" ht="15.75" customHeight="1" x14ac:dyDescent="0.2"/>
    <row r="3337" ht="15.75" customHeight="1" x14ac:dyDescent="0.2"/>
    <row r="3338" ht="15.75" customHeight="1" x14ac:dyDescent="0.2"/>
    <row r="3339" ht="15.75" customHeight="1" x14ac:dyDescent="0.2"/>
    <row r="3340" ht="15.75" customHeight="1" x14ac:dyDescent="0.2"/>
    <row r="3341" ht="15.75" customHeight="1" x14ac:dyDescent="0.2"/>
    <row r="3342" ht="15.75" customHeight="1" x14ac:dyDescent="0.2"/>
    <row r="3343" ht="15.75" customHeight="1" x14ac:dyDescent="0.2"/>
    <row r="3344" ht="15.75" customHeight="1" x14ac:dyDescent="0.2"/>
    <row r="3345" ht="15.75" customHeight="1" x14ac:dyDescent="0.2"/>
    <row r="3346" ht="15.75" customHeight="1" x14ac:dyDescent="0.2"/>
    <row r="3347" ht="15.75" customHeight="1" x14ac:dyDescent="0.2"/>
    <row r="3348" ht="15.75" customHeight="1" x14ac:dyDescent="0.2"/>
    <row r="3349" ht="15.75" customHeight="1" x14ac:dyDescent="0.2"/>
    <row r="3350" ht="15.75" customHeight="1" x14ac:dyDescent="0.2"/>
    <row r="3351" ht="15.75" customHeight="1" x14ac:dyDescent="0.2"/>
    <row r="3352" ht="15.75" customHeight="1" x14ac:dyDescent="0.2"/>
    <row r="3353" ht="15.75" customHeight="1" x14ac:dyDescent="0.2"/>
    <row r="3354" ht="15.75" customHeight="1" x14ac:dyDescent="0.2"/>
    <row r="3355" ht="15.75" customHeight="1" x14ac:dyDescent="0.2"/>
    <row r="3356" ht="15.75" customHeight="1" x14ac:dyDescent="0.2"/>
    <row r="3357" ht="15.75" customHeight="1" x14ac:dyDescent="0.2"/>
    <row r="3358" ht="15.75" customHeight="1" x14ac:dyDescent="0.2"/>
    <row r="3359" ht="15.75" customHeight="1" x14ac:dyDescent="0.2"/>
    <row r="3360" ht="15.75" customHeight="1" x14ac:dyDescent="0.2"/>
    <row r="3361" ht="15.75" customHeight="1" x14ac:dyDescent="0.2"/>
    <row r="3362" ht="15.75" customHeight="1" x14ac:dyDescent="0.2"/>
    <row r="3363" ht="15.75" customHeight="1" x14ac:dyDescent="0.2"/>
    <row r="3364" ht="15.75" customHeight="1" x14ac:dyDescent="0.2"/>
    <row r="3365" ht="15.75" customHeight="1" x14ac:dyDescent="0.2"/>
    <row r="3366" ht="15.75" customHeight="1" x14ac:dyDescent="0.2"/>
    <row r="3367" ht="15.75" customHeight="1" x14ac:dyDescent="0.2"/>
    <row r="3368" ht="15.75" customHeight="1" x14ac:dyDescent="0.2"/>
    <row r="3369" ht="15.75" customHeight="1" x14ac:dyDescent="0.2"/>
    <row r="3370" ht="15.75" customHeight="1" x14ac:dyDescent="0.2"/>
    <row r="3371" ht="15.75" customHeight="1" x14ac:dyDescent="0.2"/>
    <row r="3372" ht="15.75" customHeight="1" x14ac:dyDescent="0.2"/>
    <row r="3373" ht="15.75" customHeight="1" x14ac:dyDescent="0.2"/>
    <row r="3374" ht="15.75" customHeight="1" x14ac:dyDescent="0.2"/>
    <row r="3375" ht="15.75" customHeight="1" x14ac:dyDescent="0.2"/>
    <row r="3376" ht="15.75" customHeight="1" x14ac:dyDescent="0.2"/>
    <row r="3377" ht="15.75" customHeight="1" x14ac:dyDescent="0.2"/>
    <row r="3378" ht="15.75" customHeight="1" x14ac:dyDescent="0.2"/>
    <row r="3379" ht="15.75" customHeight="1" x14ac:dyDescent="0.2"/>
    <row r="3380" ht="15.75" customHeight="1" x14ac:dyDescent="0.2"/>
    <row r="3381" ht="15.75" customHeight="1" x14ac:dyDescent="0.2"/>
    <row r="3382" ht="15.75" customHeight="1" x14ac:dyDescent="0.2"/>
    <row r="3383" ht="15.75" customHeight="1" x14ac:dyDescent="0.2"/>
    <row r="3384" ht="15.75" customHeight="1" x14ac:dyDescent="0.2"/>
    <row r="3385" ht="15.75" customHeight="1" x14ac:dyDescent="0.2"/>
    <row r="3386" ht="15.75" customHeight="1" x14ac:dyDescent="0.2"/>
    <row r="3387" ht="15.75" customHeight="1" x14ac:dyDescent="0.2"/>
    <row r="3388" ht="15.75" customHeight="1" x14ac:dyDescent="0.2"/>
    <row r="3389" ht="15.75" customHeight="1" x14ac:dyDescent="0.2"/>
    <row r="3390" ht="15.75" customHeight="1" x14ac:dyDescent="0.2"/>
    <row r="3391" ht="15.75" customHeight="1" x14ac:dyDescent="0.2"/>
    <row r="3392" ht="15.75" customHeight="1" x14ac:dyDescent="0.2"/>
    <row r="3393" ht="15.75" customHeight="1" x14ac:dyDescent="0.2"/>
    <row r="3394" ht="15.75" customHeight="1" x14ac:dyDescent="0.2"/>
    <row r="3395" ht="15.75" customHeight="1" x14ac:dyDescent="0.2"/>
    <row r="3396" ht="15.75" customHeight="1" x14ac:dyDescent="0.2"/>
    <row r="3397" ht="15.75" customHeight="1" x14ac:dyDescent="0.2"/>
    <row r="3398" ht="15.75" customHeight="1" x14ac:dyDescent="0.2"/>
    <row r="3399" ht="15.75" customHeight="1" x14ac:dyDescent="0.2"/>
    <row r="3400" ht="15.75" customHeight="1" x14ac:dyDescent="0.2"/>
    <row r="3401" ht="15.75" customHeight="1" x14ac:dyDescent="0.2"/>
    <row r="3402" ht="15.75" customHeight="1" x14ac:dyDescent="0.2"/>
    <row r="3403" ht="15.75" customHeight="1" x14ac:dyDescent="0.2"/>
    <row r="3404" ht="15.75" customHeight="1" x14ac:dyDescent="0.2"/>
    <row r="3405" ht="15.75" customHeight="1" x14ac:dyDescent="0.2"/>
    <row r="3406" ht="15.75" customHeight="1" x14ac:dyDescent="0.2"/>
    <row r="3407" ht="15.75" customHeight="1" x14ac:dyDescent="0.2"/>
    <row r="3408" ht="15.75" customHeight="1" x14ac:dyDescent="0.2"/>
    <row r="3409" ht="15.75" customHeight="1" x14ac:dyDescent="0.2"/>
    <row r="3410" ht="15.75" customHeight="1" x14ac:dyDescent="0.2"/>
    <row r="3411" ht="15.75" customHeight="1" x14ac:dyDescent="0.2"/>
    <row r="3412" ht="15.75" customHeight="1" x14ac:dyDescent="0.2"/>
    <row r="3413" ht="15.75" customHeight="1" x14ac:dyDescent="0.2"/>
    <row r="3414" ht="15.75" customHeight="1" x14ac:dyDescent="0.2"/>
    <row r="3415" ht="15.75" customHeight="1" x14ac:dyDescent="0.2"/>
    <row r="3416" ht="15.75" customHeight="1" x14ac:dyDescent="0.2"/>
    <row r="3417" ht="15.75" customHeight="1" x14ac:dyDescent="0.2"/>
    <row r="3418" ht="15.75" customHeight="1" x14ac:dyDescent="0.2"/>
    <row r="3419" ht="15.75" customHeight="1" x14ac:dyDescent="0.2"/>
    <row r="3420" ht="15.75" customHeight="1" x14ac:dyDescent="0.2"/>
    <row r="3421" ht="15.75" customHeight="1" x14ac:dyDescent="0.2"/>
    <row r="3422" ht="15.75" customHeight="1" x14ac:dyDescent="0.2"/>
    <row r="3423" ht="15.75" customHeight="1" x14ac:dyDescent="0.2"/>
    <row r="3424" ht="15.75" customHeight="1" x14ac:dyDescent="0.2"/>
    <row r="3425" ht="15.75" customHeight="1" x14ac:dyDescent="0.2"/>
    <row r="3426" ht="15.75" customHeight="1" x14ac:dyDescent="0.2"/>
    <row r="3427" ht="15.75" customHeight="1" x14ac:dyDescent="0.2"/>
    <row r="3428" ht="15.75" customHeight="1" x14ac:dyDescent="0.2"/>
    <row r="3429" ht="15.75" customHeight="1" x14ac:dyDescent="0.2"/>
    <row r="3430" ht="15.75" customHeight="1" x14ac:dyDescent="0.2"/>
    <row r="3431" ht="15.75" customHeight="1" x14ac:dyDescent="0.2"/>
    <row r="3432" ht="15.75" customHeight="1" x14ac:dyDescent="0.2"/>
    <row r="3433" ht="15.75" customHeight="1" x14ac:dyDescent="0.2"/>
    <row r="3434" ht="15.75" customHeight="1" x14ac:dyDescent="0.2"/>
    <row r="3435" ht="15.75" customHeight="1" x14ac:dyDescent="0.2"/>
    <row r="3436" ht="15.75" customHeight="1" x14ac:dyDescent="0.2"/>
    <row r="3437" ht="15.75" customHeight="1" x14ac:dyDescent="0.2"/>
    <row r="3438" ht="15.75" customHeight="1" x14ac:dyDescent="0.2"/>
    <row r="3439" ht="15.75" customHeight="1" x14ac:dyDescent="0.2"/>
    <row r="3440" ht="15.75" customHeight="1" x14ac:dyDescent="0.2"/>
    <row r="3441" ht="15.75" customHeight="1" x14ac:dyDescent="0.2"/>
    <row r="3442" ht="15.75" customHeight="1" x14ac:dyDescent="0.2"/>
    <row r="3443" ht="15.75" customHeight="1" x14ac:dyDescent="0.2"/>
    <row r="3444" ht="15.75" customHeight="1" x14ac:dyDescent="0.2"/>
    <row r="3445" ht="15.75" customHeight="1" x14ac:dyDescent="0.2"/>
    <row r="3446" ht="15.75" customHeight="1" x14ac:dyDescent="0.2"/>
    <row r="3447" ht="15.75" customHeight="1" x14ac:dyDescent="0.2"/>
    <row r="3448" ht="15.75" customHeight="1" x14ac:dyDescent="0.2"/>
    <row r="3449" ht="15.75" customHeight="1" x14ac:dyDescent="0.2"/>
    <row r="3450" ht="15.75" customHeight="1" x14ac:dyDescent="0.2"/>
    <row r="3451" ht="15.75" customHeight="1" x14ac:dyDescent="0.2"/>
    <row r="3452" ht="15.75" customHeight="1" x14ac:dyDescent="0.2"/>
    <row r="3453" ht="15.75" customHeight="1" x14ac:dyDescent="0.2"/>
    <row r="3454" ht="15.75" customHeight="1" x14ac:dyDescent="0.2"/>
    <row r="3455" ht="15.75" customHeight="1" x14ac:dyDescent="0.2"/>
    <row r="3456" ht="15.75" customHeight="1" x14ac:dyDescent="0.2"/>
    <row r="3457" ht="15.75" customHeight="1" x14ac:dyDescent="0.2"/>
    <row r="3458" ht="15.75" customHeight="1" x14ac:dyDescent="0.2"/>
    <row r="3459" ht="15.75" customHeight="1" x14ac:dyDescent="0.2"/>
    <row r="3460" ht="15.75" customHeight="1" x14ac:dyDescent="0.2"/>
    <row r="3461" ht="15.75" customHeight="1" x14ac:dyDescent="0.2"/>
    <row r="3462" ht="15.75" customHeight="1" x14ac:dyDescent="0.2"/>
    <row r="3463" ht="15.75" customHeight="1" x14ac:dyDescent="0.2"/>
    <row r="3464" ht="15.75" customHeight="1" x14ac:dyDescent="0.2"/>
    <row r="3465" ht="15.75" customHeight="1" x14ac:dyDescent="0.2"/>
    <row r="3466" ht="15.75" customHeight="1" x14ac:dyDescent="0.2"/>
    <row r="3467" ht="15.75" customHeight="1" x14ac:dyDescent="0.2"/>
    <row r="3468" ht="15.75" customHeight="1" x14ac:dyDescent="0.2"/>
    <row r="3469" ht="15.75" customHeight="1" x14ac:dyDescent="0.2"/>
    <row r="3470" ht="15.75" customHeight="1" x14ac:dyDescent="0.2"/>
    <row r="3471" ht="15.75" customHeight="1" x14ac:dyDescent="0.2"/>
    <row r="3472" ht="15.75" customHeight="1" x14ac:dyDescent="0.2"/>
    <row r="3473" ht="15.75" customHeight="1" x14ac:dyDescent="0.2"/>
    <row r="3474" ht="15.75" customHeight="1" x14ac:dyDescent="0.2"/>
    <row r="3475" ht="15.75" customHeight="1" x14ac:dyDescent="0.2"/>
    <row r="3476" ht="15.75" customHeight="1" x14ac:dyDescent="0.2"/>
    <row r="3477" ht="15.75" customHeight="1" x14ac:dyDescent="0.2"/>
    <row r="3478" ht="15.75" customHeight="1" x14ac:dyDescent="0.2"/>
    <row r="3479" ht="15.75" customHeight="1" x14ac:dyDescent="0.2"/>
    <row r="3480" ht="15.75" customHeight="1" x14ac:dyDescent="0.2"/>
    <row r="3481" ht="15.75" customHeight="1" x14ac:dyDescent="0.2"/>
    <row r="3482" ht="15.75" customHeight="1" x14ac:dyDescent="0.2"/>
    <row r="3483" ht="15.75" customHeight="1" x14ac:dyDescent="0.2"/>
    <row r="3484" ht="15.75" customHeight="1" x14ac:dyDescent="0.2"/>
    <row r="3485" ht="15.75" customHeight="1" x14ac:dyDescent="0.2"/>
    <row r="3486" ht="15.75" customHeight="1" x14ac:dyDescent="0.2"/>
    <row r="3487" ht="15.75" customHeight="1" x14ac:dyDescent="0.2"/>
    <row r="3488" ht="15.75" customHeight="1" x14ac:dyDescent="0.2"/>
    <row r="3489" ht="15.75" customHeight="1" x14ac:dyDescent="0.2"/>
    <row r="3490" ht="15.75" customHeight="1" x14ac:dyDescent="0.2"/>
    <row r="3491" ht="15.75" customHeight="1" x14ac:dyDescent="0.2"/>
    <row r="3492" ht="15.75" customHeight="1" x14ac:dyDescent="0.2"/>
    <row r="3493" ht="15.75" customHeight="1" x14ac:dyDescent="0.2"/>
    <row r="3494" ht="15.75" customHeight="1" x14ac:dyDescent="0.2"/>
    <row r="3495" ht="15.75" customHeight="1" x14ac:dyDescent="0.2"/>
    <row r="3496" ht="15.75" customHeight="1" x14ac:dyDescent="0.2"/>
    <row r="3497" ht="15.75" customHeight="1" x14ac:dyDescent="0.2"/>
    <row r="3498" ht="15.75" customHeight="1" x14ac:dyDescent="0.2"/>
    <row r="3499" ht="15.75" customHeight="1" x14ac:dyDescent="0.2"/>
    <row r="3500" ht="15.75" customHeight="1" x14ac:dyDescent="0.2"/>
    <row r="3501" ht="15.75" customHeight="1" x14ac:dyDescent="0.2"/>
    <row r="3502" ht="15.75" customHeight="1" x14ac:dyDescent="0.2"/>
    <row r="3503" ht="15.75" customHeight="1" x14ac:dyDescent="0.2"/>
    <row r="3504" ht="15.75" customHeight="1" x14ac:dyDescent="0.2"/>
    <row r="3505" ht="15.75" customHeight="1" x14ac:dyDescent="0.2"/>
    <row r="3506" ht="15.75" customHeight="1" x14ac:dyDescent="0.2"/>
    <row r="3507" ht="15.75" customHeight="1" x14ac:dyDescent="0.2"/>
    <row r="3508" ht="15.75" customHeight="1" x14ac:dyDescent="0.2"/>
    <row r="3509" ht="15.75" customHeight="1" x14ac:dyDescent="0.2"/>
    <row r="3510" ht="15.75" customHeight="1" x14ac:dyDescent="0.2"/>
    <row r="3511" ht="15.75" customHeight="1" x14ac:dyDescent="0.2"/>
    <row r="3512" ht="15.75" customHeight="1" x14ac:dyDescent="0.2"/>
    <row r="3513" ht="15.75" customHeight="1" x14ac:dyDescent="0.2"/>
    <row r="3514" ht="15.75" customHeight="1" x14ac:dyDescent="0.2"/>
    <row r="3515" ht="15.75" customHeight="1" x14ac:dyDescent="0.2"/>
    <row r="3516" ht="15.75" customHeight="1" x14ac:dyDescent="0.2"/>
    <row r="3517" ht="15.75" customHeight="1" x14ac:dyDescent="0.2"/>
    <row r="3518" ht="15.75" customHeight="1" x14ac:dyDescent="0.2"/>
    <row r="3519" ht="15.75" customHeight="1" x14ac:dyDescent="0.2"/>
    <row r="3520" ht="15.75" customHeight="1" x14ac:dyDescent="0.2"/>
    <row r="3521" ht="15.75" customHeight="1" x14ac:dyDescent="0.2"/>
    <row r="3522" ht="15.75" customHeight="1" x14ac:dyDescent="0.2"/>
    <row r="3523" ht="15.75" customHeight="1" x14ac:dyDescent="0.2"/>
    <row r="3524" ht="15.75" customHeight="1" x14ac:dyDescent="0.2"/>
    <row r="3525" ht="15.75" customHeight="1" x14ac:dyDescent="0.2"/>
    <row r="3526" ht="15.75" customHeight="1" x14ac:dyDescent="0.2"/>
    <row r="3527" ht="15.75" customHeight="1" x14ac:dyDescent="0.2"/>
    <row r="3528" ht="15.75" customHeight="1" x14ac:dyDescent="0.2"/>
    <row r="3529" ht="15.75" customHeight="1" x14ac:dyDescent="0.2"/>
    <row r="3530" ht="15.75" customHeight="1" x14ac:dyDescent="0.2"/>
    <row r="3531" ht="15.75" customHeight="1" x14ac:dyDescent="0.2"/>
    <row r="3532" ht="15.75" customHeight="1" x14ac:dyDescent="0.2"/>
    <row r="3533" ht="15.75" customHeight="1" x14ac:dyDescent="0.2"/>
    <row r="3534" ht="15.75" customHeight="1" x14ac:dyDescent="0.2"/>
    <row r="3535" ht="15.75" customHeight="1" x14ac:dyDescent="0.2"/>
    <row r="3536" ht="15.75" customHeight="1" x14ac:dyDescent="0.2"/>
    <row r="3537" ht="15.75" customHeight="1" x14ac:dyDescent="0.2"/>
    <row r="3538" ht="15.75" customHeight="1" x14ac:dyDescent="0.2"/>
    <row r="3539" ht="15.75" customHeight="1" x14ac:dyDescent="0.2"/>
    <row r="3540" ht="15.75" customHeight="1" x14ac:dyDescent="0.2"/>
    <row r="3541" ht="15.75" customHeight="1" x14ac:dyDescent="0.2"/>
    <row r="3542" ht="15.75" customHeight="1" x14ac:dyDescent="0.2"/>
    <row r="3543" ht="15.75" customHeight="1" x14ac:dyDescent="0.2"/>
    <row r="3544" ht="15.75" customHeight="1" x14ac:dyDescent="0.2"/>
    <row r="3545" ht="15.75" customHeight="1" x14ac:dyDescent="0.2"/>
    <row r="3546" ht="15.75" customHeight="1" x14ac:dyDescent="0.2"/>
    <row r="3547" ht="15.75" customHeight="1" x14ac:dyDescent="0.2"/>
    <row r="3548" ht="15.75" customHeight="1" x14ac:dyDescent="0.2"/>
    <row r="3549" ht="15.75" customHeight="1" x14ac:dyDescent="0.2"/>
    <row r="3550" ht="15.75" customHeight="1" x14ac:dyDescent="0.2"/>
    <row r="3551" ht="15.75" customHeight="1" x14ac:dyDescent="0.2"/>
    <row r="3552" ht="15.75" customHeight="1" x14ac:dyDescent="0.2"/>
    <row r="3553" ht="15.75" customHeight="1" x14ac:dyDescent="0.2"/>
    <row r="3554" ht="15.75" customHeight="1" x14ac:dyDescent="0.2"/>
    <row r="3555" ht="15.75" customHeight="1" x14ac:dyDescent="0.2"/>
    <row r="3556" ht="15.75" customHeight="1" x14ac:dyDescent="0.2"/>
    <row r="3557" ht="15.75" customHeight="1" x14ac:dyDescent="0.2"/>
    <row r="3558" ht="15.75" customHeight="1" x14ac:dyDescent="0.2"/>
    <row r="3559" ht="15.75" customHeight="1" x14ac:dyDescent="0.2"/>
    <row r="3560" ht="15.75" customHeight="1" x14ac:dyDescent="0.2"/>
    <row r="3561" ht="15.75" customHeight="1" x14ac:dyDescent="0.2"/>
    <row r="3562" ht="15.75" customHeight="1" x14ac:dyDescent="0.2"/>
    <row r="3563" ht="15.75" customHeight="1" x14ac:dyDescent="0.2"/>
    <row r="3564" ht="15.75" customHeight="1" x14ac:dyDescent="0.2"/>
    <row r="3565" ht="15.75" customHeight="1" x14ac:dyDescent="0.2"/>
    <row r="3566" ht="15.75" customHeight="1" x14ac:dyDescent="0.2"/>
    <row r="3567" ht="15.75" customHeight="1" x14ac:dyDescent="0.2"/>
    <row r="3568" ht="15.75" customHeight="1" x14ac:dyDescent="0.2"/>
    <row r="3569" ht="15.75" customHeight="1" x14ac:dyDescent="0.2"/>
    <row r="3570" ht="15.75" customHeight="1" x14ac:dyDescent="0.2"/>
    <row r="3571" ht="15.75" customHeight="1" x14ac:dyDescent="0.2"/>
    <row r="3572" ht="15.75" customHeight="1" x14ac:dyDescent="0.2"/>
    <row r="3573" ht="15.75" customHeight="1" x14ac:dyDescent="0.2"/>
    <row r="3574" ht="15.75" customHeight="1" x14ac:dyDescent="0.2"/>
    <row r="3575" ht="15.75" customHeight="1" x14ac:dyDescent="0.2"/>
    <row r="3576" ht="15.75" customHeight="1" x14ac:dyDescent="0.2"/>
    <row r="3577" ht="15.75" customHeight="1" x14ac:dyDescent="0.2"/>
    <row r="3578" ht="15.75" customHeight="1" x14ac:dyDescent="0.2"/>
    <row r="3579" ht="15.75" customHeight="1" x14ac:dyDescent="0.2"/>
    <row r="3580" ht="15.75" customHeight="1" x14ac:dyDescent="0.2"/>
    <row r="3581" ht="15.75" customHeight="1" x14ac:dyDescent="0.2"/>
    <row r="3582" ht="15.75" customHeight="1" x14ac:dyDescent="0.2"/>
    <row r="3583" ht="15.75" customHeight="1" x14ac:dyDescent="0.2"/>
    <row r="3584" ht="15.75" customHeight="1" x14ac:dyDescent="0.2"/>
    <row r="3585" ht="15.75" customHeight="1" x14ac:dyDescent="0.2"/>
    <row r="3586" ht="15.75" customHeight="1" x14ac:dyDescent="0.2"/>
    <row r="3587" ht="15.75" customHeight="1" x14ac:dyDescent="0.2"/>
    <row r="3588" ht="15.75" customHeight="1" x14ac:dyDescent="0.2"/>
    <row r="3589" ht="15.75" customHeight="1" x14ac:dyDescent="0.2"/>
    <row r="3590" ht="15.75" customHeight="1" x14ac:dyDescent="0.2"/>
    <row r="3591" ht="15.75" customHeight="1" x14ac:dyDescent="0.2"/>
    <row r="3592" ht="15.75" customHeight="1" x14ac:dyDescent="0.2"/>
    <row r="3593" ht="15.75" customHeight="1" x14ac:dyDescent="0.2"/>
    <row r="3594" ht="15.75" customHeight="1" x14ac:dyDescent="0.2"/>
    <row r="3595" ht="15.75" customHeight="1" x14ac:dyDescent="0.2"/>
    <row r="3596" ht="15.75" customHeight="1" x14ac:dyDescent="0.2"/>
    <row r="3597" ht="15.75" customHeight="1" x14ac:dyDescent="0.2"/>
    <row r="3598" ht="15.75" customHeight="1" x14ac:dyDescent="0.2"/>
    <row r="3599" ht="15.75" customHeight="1" x14ac:dyDescent="0.2"/>
    <row r="3600" ht="15.75" customHeight="1" x14ac:dyDescent="0.2"/>
    <row r="3601" ht="15.75" customHeight="1" x14ac:dyDescent="0.2"/>
    <row r="3602" ht="15.75" customHeight="1" x14ac:dyDescent="0.2"/>
    <row r="3603" ht="15.75" customHeight="1" x14ac:dyDescent="0.2"/>
    <row r="3604" ht="15.75" customHeight="1" x14ac:dyDescent="0.2"/>
    <row r="3605" ht="15.75" customHeight="1" x14ac:dyDescent="0.2"/>
    <row r="3606" ht="15.75" customHeight="1" x14ac:dyDescent="0.2"/>
    <row r="3607" ht="15.75" customHeight="1" x14ac:dyDescent="0.2"/>
    <row r="3608" ht="15.75" customHeight="1" x14ac:dyDescent="0.2"/>
    <row r="3609" ht="15.75" customHeight="1" x14ac:dyDescent="0.2"/>
    <row r="3610" ht="15.75" customHeight="1" x14ac:dyDescent="0.2"/>
    <row r="3611" ht="15.75" customHeight="1" x14ac:dyDescent="0.2"/>
    <row r="3612" ht="15.75" customHeight="1" x14ac:dyDescent="0.2"/>
    <row r="3613" ht="15.75" customHeight="1" x14ac:dyDescent="0.2"/>
    <row r="3614" ht="15.75" customHeight="1" x14ac:dyDescent="0.2"/>
    <row r="3615" ht="15.75" customHeight="1" x14ac:dyDescent="0.2"/>
    <row r="3616" ht="15.75" customHeight="1" x14ac:dyDescent="0.2"/>
    <row r="3617" ht="15.75" customHeight="1" x14ac:dyDescent="0.2"/>
    <row r="3618" ht="15.75" customHeight="1" x14ac:dyDescent="0.2"/>
    <row r="3619" ht="15.75" customHeight="1" x14ac:dyDescent="0.2"/>
    <row r="3620" ht="15.75" customHeight="1" x14ac:dyDescent="0.2"/>
    <row r="3621" ht="15.75" customHeight="1" x14ac:dyDescent="0.2"/>
    <row r="3622" ht="15.75" customHeight="1" x14ac:dyDescent="0.2"/>
    <row r="3623" ht="15.75" customHeight="1" x14ac:dyDescent="0.2"/>
    <row r="3624" ht="15.75" customHeight="1" x14ac:dyDescent="0.2"/>
    <row r="3625" ht="15.75" customHeight="1" x14ac:dyDescent="0.2"/>
    <row r="3626" ht="15.75" customHeight="1" x14ac:dyDescent="0.2"/>
    <row r="3627" ht="15.75" customHeight="1" x14ac:dyDescent="0.2"/>
    <row r="3628" ht="15.75" customHeight="1" x14ac:dyDescent="0.2"/>
    <row r="3629" ht="15.75" customHeight="1" x14ac:dyDescent="0.2"/>
    <row r="3630" ht="15.75" customHeight="1" x14ac:dyDescent="0.2"/>
    <row r="3631" ht="15.75" customHeight="1" x14ac:dyDescent="0.2"/>
    <row r="3632" ht="15.75" customHeight="1" x14ac:dyDescent="0.2"/>
    <row r="3633" ht="15.75" customHeight="1" x14ac:dyDescent="0.2"/>
    <row r="3634" ht="15.75" customHeight="1" x14ac:dyDescent="0.2"/>
    <row r="3635" ht="15.75" customHeight="1" x14ac:dyDescent="0.2"/>
    <row r="3636" ht="15.75" customHeight="1" x14ac:dyDescent="0.2"/>
    <row r="3637" ht="15.75" customHeight="1" x14ac:dyDescent="0.2"/>
    <row r="3638" ht="15.75" customHeight="1" x14ac:dyDescent="0.2"/>
    <row r="3639" ht="15.75" customHeight="1" x14ac:dyDescent="0.2"/>
    <row r="3640" ht="15.75" customHeight="1" x14ac:dyDescent="0.2"/>
    <row r="3641" ht="15.75" customHeight="1" x14ac:dyDescent="0.2"/>
    <row r="3642" ht="15.75" customHeight="1" x14ac:dyDescent="0.2"/>
    <row r="3643" ht="15.75" customHeight="1" x14ac:dyDescent="0.2"/>
    <row r="3644" ht="15.75" customHeight="1" x14ac:dyDescent="0.2"/>
    <row r="3645" ht="15.75" customHeight="1" x14ac:dyDescent="0.2"/>
    <row r="3646" ht="15.75" customHeight="1" x14ac:dyDescent="0.2"/>
    <row r="3647" ht="15.75" customHeight="1" x14ac:dyDescent="0.2"/>
    <row r="3648" ht="15.75" customHeight="1" x14ac:dyDescent="0.2"/>
    <row r="3649" ht="15.75" customHeight="1" x14ac:dyDescent="0.2"/>
    <row r="3650" ht="15.75" customHeight="1" x14ac:dyDescent="0.2"/>
    <row r="3651" ht="15.75" customHeight="1" x14ac:dyDescent="0.2"/>
    <row r="3652" ht="15.75" customHeight="1" x14ac:dyDescent="0.2"/>
    <row r="3653" ht="15.75" customHeight="1" x14ac:dyDescent="0.2"/>
    <row r="3654" ht="15.75" customHeight="1" x14ac:dyDescent="0.2"/>
    <row r="3655" ht="15.75" customHeight="1" x14ac:dyDescent="0.2"/>
    <row r="3656" ht="15.75" customHeight="1" x14ac:dyDescent="0.2"/>
    <row r="3657" ht="15.75" customHeight="1" x14ac:dyDescent="0.2"/>
    <row r="3658" ht="15.75" customHeight="1" x14ac:dyDescent="0.2"/>
    <row r="3659" ht="15.75" customHeight="1" x14ac:dyDescent="0.2"/>
    <row r="3660" ht="15.75" customHeight="1" x14ac:dyDescent="0.2"/>
    <row r="3661" ht="15.75" customHeight="1" x14ac:dyDescent="0.2"/>
    <row r="3662" ht="15.75" customHeight="1" x14ac:dyDescent="0.2"/>
    <row r="3663" ht="15.75" customHeight="1" x14ac:dyDescent="0.2"/>
    <row r="3664" ht="15.75" customHeight="1" x14ac:dyDescent="0.2"/>
    <row r="3665" ht="15.75" customHeight="1" x14ac:dyDescent="0.2"/>
    <row r="3666" ht="15.75" customHeight="1" x14ac:dyDescent="0.2"/>
    <row r="3667" ht="15.75" customHeight="1" x14ac:dyDescent="0.2"/>
    <row r="3668" ht="15.75" customHeight="1" x14ac:dyDescent="0.2"/>
    <row r="3669" ht="15.75" customHeight="1" x14ac:dyDescent="0.2"/>
    <row r="3670" ht="15.75" customHeight="1" x14ac:dyDescent="0.2"/>
    <row r="3671" ht="15.75" customHeight="1" x14ac:dyDescent="0.2"/>
    <row r="3672" ht="15.75" customHeight="1" x14ac:dyDescent="0.2"/>
    <row r="3673" ht="15.75" customHeight="1" x14ac:dyDescent="0.2"/>
    <row r="3674" ht="15.75" customHeight="1" x14ac:dyDescent="0.2"/>
    <row r="3675" ht="15.75" customHeight="1" x14ac:dyDescent="0.2"/>
    <row r="3676" ht="15.75" customHeight="1" x14ac:dyDescent="0.2"/>
    <row r="3677" ht="15.75" customHeight="1" x14ac:dyDescent="0.2"/>
    <row r="3678" ht="15.75" customHeight="1" x14ac:dyDescent="0.2"/>
    <row r="3679" ht="15.75" customHeight="1" x14ac:dyDescent="0.2"/>
    <row r="3680" ht="15.75" customHeight="1" x14ac:dyDescent="0.2"/>
    <row r="3681" ht="15.75" customHeight="1" x14ac:dyDescent="0.2"/>
    <row r="3682" ht="15.75" customHeight="1" x14ac:dyDescent="0.2"/>
    <row r="3683" ht="15.75" customHeight="1" x14ac:dyDescent="0.2"/>
    <row r="3684" ht="15.75" customHeight="1" x14ac:dyDescent="0.2"/>
    <row r="3685" ht="15.75" customHeight="1" x14ac:dyDescent="0.2"/>
    <row r="3686" ht="15.75" customHeight="1" x14ac:dyDescent="0.2"/>
    <row r="3687" ht="15.75" customHeight="1" x14ac:dyDescent="0.2"/>
    <row r="3688" ht="15.75" customHeight="1" x14ac:dyDescent="0.2"/>
    <row r="3689" ht="15.75" customHeight="1" x14ac:dyDescent="0.2"/>
    <row r="3690" ht="15.75" customHeight="1" x14ac:dyDescent="0.2"/>
    <row r="3691" ht="15.75" customHeight="1" x14ac:dyDescent="0.2"/>
    <row r="3692" ht="15.75" customHeight="1" x14ac:dyDescent="0.2"/>
    <row r="3693" ht="15.75" customHeight="1" x14ac:dyDescent="0.2"/>
    <row r="3694" ht="15.75" customHeight="1" x14ac:dyDescent="0.2"/>
    <row r="3695" ht="15.75" customHeight="1" x14ac:dyDescent="0.2"/>
    <row r="3696" ht="15.75" customHeight="1" x14ac:dyDescent="0.2"/>
    <row r="3697" ht="15.75" customHeight="1" x14ac:dyDescent="0.2"/>
    <row r="3698" ht="15.75" customHeight="1" x14ac:dyDescent="0.2"/>
    <row r="3699" ht="15.75" customHeight="1" x14ac:dyDescent="0.2"/>
    <row r="3700" ht="15.75" customHeight="1" x14ac:dyDescent="0.2"/>
    <row r="3701" ht="15.75" customHeight="1" x14ac:dyDescent="0.2"/>
    <row r="3702" ht="15.75" customHeight="1" x14ac:dyDescent="0.2"/>
    <row r="3703" ht="15.75" customHeight="1" x14ac:dyDescent="0.2"/>
    <row r="3704" ht="15.75" customHeight="1" x14ac:dyDescent="0.2"/>
    <row r="3705" ht="15.75" customHeight="1" x14ac:dyDescent="0.2"/>
    <row r="3706" ht="15.75" customHeight="1" x14ac:dyDescent="0.2"/>
    <row r="3707" ht="15.75" customHeight="1" x14ac:dyDescent="0.2"/>
    <row r="3708" ht="15.75" customHeight="1" x14ac:dyDescent="0.2"/>
    <row r="3709" ht="15.75" customHeight="1" x14ac:dyDescent="0.2"/>
    <row r="3710" ht="15.75" customHeight="1" x14ac:dyDescent="0.2"/>
    <row r="3711" ht="15.75" customHeight="1" x14ac:dyDescent="0.2"/>
    <row r="3712" ht="15.75" customHeight="1" x14ac:dyDescent="0.2"/>
    <row r="3713" ht="15.75" customHeight="1" x14ac:dyDescent="0.2"/>
    <row r="3714" ht="15.75" customHeight="1" x14ac:dyDescent="0.2"/>
    <row r="3715" ht="15.75" customHeight="1" x14ac:dyDescent="0.2"/>
    <row r="3716" ht="15.75" customHeight="1" x14ac:dyDescent="0.2"/>
    <row r="3717" ht="15.75" customHeight="1" x14ac:dyDescent="0.2"/>
    <row r="3718" ht="15.75" customHeight="1" x14ac:dyDescent="0.2"/>
    <row r="3719" ht="15.75" customHeight="1" x14ac:dyDescent="0.2"/>
    <row r="3720" ht="15.75" customHeight="1" x14ac:dyDescent="0.2"/>
    <row r="3721" ht="15.75" customHeight="1" x14ac:dyDescent="0.2"/>
    <row r="3722" ht="15.75" customHeight="1" x14ac:dyDescent="0.2"/>
    <row r="3723" ht="15.75" customHeight="1" x14ac:dyDescent="0.2"/>
    <row r="3724" ht="15.75" customHeight="1" x14ac:dyDescent="0.2"/>
    <row r="3725" ht="15.75" customHeight="1" x14ac:dyDescent="0.2"/>
    <row r="3726" ht="15.75" customHeight="1" x14ac:dyDescent="0.2"/>
    <row r="3727" ht="15.75" customHeight="1" x14ac:dyDescent="0.2"/>
    <row r="3728" ht="15.75" customHeight="1" x14ac:dyDescent="0.2"/>
    <row r="3729" ht="15.75" customHeight="1" x14ac:dyDescent="0.2"/>
    <row r="3730" ht="15.75" customHeight="1" x14ac:dyDescent="0.2"/>
    <row r="3731" ht="15.75" customHeight="1" x14ac:dyDescent="0.2"/>
    <row r="3732" ht="15.75" customHeight="1" x14ac:dyDescent="0.2"/>
    <row r="3733" ht="15.75" customHeight="1" x14ac:dyDescent="0.2"/>
    <row r="3734" ht="15.75" customHeight="1" x14ac:dyDescent="0.2"/>
    <row r="3735" ht="15.75" customHeight="1" x14ac:dyDescent="0.2"/>
    <row r="3736" ht="15.75" customHeight="1" x14ac:dyDescent="0.2"/>
    <row r="3737" ht="15.75" customHeight="1" x14ac:dyDescent="0.2"/>
    <row r="3738" ht="15.75" customHeight="1" x14ac:dyDescent="0.2"/>
    <row r="3739" ht="15.75" customHeight="1" x14ac:dyDescent="0.2"/>
    <row r="3740" ht="15.75" customHeight="1" x14ac:dyDescent="0.2"/>
    <row r="3741" ht="15.75" customHeight="1" x14ac:dyDescent="0.2"/>
    <row r="3742" ht="15.75" customHeight="1" x14ac:dyDescent="0.2"/>
    <row r="3743" ht="15.75" customHeight="1" x14ac:dyDescent="0.2"/>
    <row r="3744" ht="15.75" customHeight="1" x14ac:dyDescent="0.2"/>
    <row r="3745" ht="15.75" customHeight="1" x14ac:dyDescent="0.2"/>
    <row r="3746" ht="15.75" customHeight="1" x14ac:dyDescent="0.2"/>
    <row r="3747" ht="15.75" customHeight="1" x14ac:dyDescent="0.2"/>
    <row r="3748" ht="15.75" customHeight="1" x14ac:dyDescent="0.2"/>
    <row r="3749" ht="15.75" customHeight="1" x14ac:dyDescent="0.2"/>
    <row r="3750" ht="15.75" customHeight="1" x14ac:dyDescent="0.2"/>
    <row r="3751" ht="15.75" customHeight="1" x14ac:dyDescent="0.2"/>
    <row r="3752" ht="15.75" customHeight="1" x14ac:dyDescent="0.2"/>
    <row r="3753" ht="15.75" customHeight="1" x14ac:dyDescent="0.2"/>
    <row r="3754" ht="15.75" customHeight="1" x14ac:dyDescent="0.2"/>
    <row r="3755" ht="15.75" customHeight="1" x14ac:dyDescent="0.2"/>
    <row r="3756" ht="15.75" customHeight="1" x14ac:dyDescent="0.2"/>
    <row r="3757" ht="15.75" customHeight="1" x14ac:dyDescent="0.2"/>
    <row r="3758" ht="15.75" customHeight="1" x14ac:dyDescent="0.2"/>
    <row r="3759" ht="15.75" customHeight="1" x14ac:dyDescent="0.2"/>
    <row r="3760" ht="15.75" customHeight="1" x14ac:dyDescent="0.2"/>
  </sheetData>
  <autoFilter ref="A1:B3760" xr:uid="{00000000-0009-0000-0000-000002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2017-05-29T23:44:35Z</dcterms:created>
  <dcterms:modified xsi:type="dcterms:W3CDTF">2023-11-22T20:39:38Z</dcterms:modified>
</cp:coreProperties>
</file>